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worksheets/sheet7.xml" ContentType="application/vnd.openxmlformats-officedocument.spreadsheetml.worksheet+xml"/>
  <Override PartName="/xl/comments2.xml" ContentType="application/vnd.openxmlformats-officedocument.spreadsheetml.comments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Default Extension="rels" ContentType="application/vnd.openxmlformats-package.relationships+xml"/>
  <Default Extension="xml" ContentType="application/xml"/>
  <Default Extension="tiff" ContentType="image/tiff"/>
  <Default Extension="jpeg" ContentType="image/jpeg"/>
  <Default Extension="png" ContentType="image/png"/>
  <Default Extension="gif" ContentType="image/gif"/>
  <Default Extension="vml" ContentType="application/vnd.openxmlformats-officedocument.vmlDrawin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26年销量预测" sheetId="2" r:id="rId5"/>
    <sheet name="26年渠道目标" sheetId="3" r:id="rId6"/>
    <sheet name="Y26年渠道汇总" sheetId="4" r:id="rId7" state="hidden"/>
    <sheet name="销售进度" sheetId="5" r:id="rId8"/>
    <sheet name="26年全渠道汇总" sheetId="6" r:id="rId9"/>
    <sheet name="26年全渠道汇总（副本计算）" sheetId="7" r:id="rId10"/>
    <sheet name="26年全渠道汇总（仅电商）" sheetId="8" r:id="rId11"/>
    <sheet name="投放" sheetId="9" r:id="rId12"/>
    <sheet name="淘系-小计" sheetId="10" r:id="rId13"/>
    <sheet name="淘系" sheetId="11" r:id="rId14"/>
    <sheet name="淘系达播" sheetId="12" r:id="rId15"/>
    <sheet name="抖快-小计" sheetId="13" r:id="rId16"/>
    <sheet name="抖音" sheetId="14" r:id="rId17"/>
    <sheet name="抖音达播" sheetId="15" r:id="rId18"/>
    <sheet name="快手" sheetId="16" r:id="rId19"/>
    <sheet name="京东-小计" sheetId="17" r:id="rId20"/>
    <sheet name="京东POP财经口径" sheetId="18" r:id="rId21"/>
    <sheet name="京东自营财经口径" sheetId="19" r:id="rId22"/>
    <sheet name="小店-小计" sheetId="20" r:id="rId23"/>
    <sheet name="PDD" sheetId="21" r:id="rId24"/>
    <sheet name="得物" sheetId="22" r:id="rId25"/>
    <sheet name="视频号+官网+小程序" sheetId="23" r:id="rId26"/>
    <sheet name="唯品会" sheetId="24" r:id="rId27"/>
    <sheet name="线下门店-小计" sheetId="25" r:id="rId28"/>
    <sheet name="线下门店-直营" sheetId="26" r:id="rId29"/>
    <sheet name="线下门店-经销" sheetId="27" r:id="rId30"/>
    <sheet name="线下渠道" sheetId="28" r:id="rId31"/>
    <sheet name="京东自营业务口径" sheetId="29" r:id="rId32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3" authorId="0" shapeId="0" xr:uid="{7a76f2ad-d3dc-4577-b3cf-3d290d550c73}">
      <text>
        <r>
          <t xml:space="preserve">人力+行政+财务+法务+IT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3" authorId="0" shapeId="0" xr:uid="{39b86780-b3f3-4337-9452-36cab6595fb7}">
      <text>
        <r>
          <t xml:space="preserve">人力+行政+财务+法务+IT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71" authorId="0" shapeId="0" xr:uid="{0b6c669f-78a6-4556-bd10-4ae5607db485}">
      <text>
        <r>
          <t xml:space="preserve">人力+行政+财务+法务+IT 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<sst xmlns="http://schemas.openxmlformats.org/spreadsheetml/2006/main" count="1" uniqueCount="1">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</sst>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1">
    <numFmt numFmtId="164" formatCode="0.0%"/>
    <numFmt numFmtId="165" formatCode="#,##0"/>
    <numFmt numFmtId="166" formatCode="0"/>
    <numFmt numFmtId="167" formatCode="0.0%"/>
    <numFmt numFmtId="168" formatCode="0.00"/>
    <numFmt numFmtId="169" formatCode="#,##0"/>
    <numFmt numFmtId="170" formatCode="#,##0"/>
    <numFmt numFmtId="171" formatCode="#,##0"/>
    <numFmt numFmtId="172" formatCode="0.0%"/>
    <numFmt numFmtId="173" formatCode="0.0%"/>
    <numFmt numFmtId="174" formatCode="#,##0"/>
    <numFmt numFmtId="175" formatCode="0.00"/>
    <numFmt numFmtId="176" formatCode="0.0%"/>
    <numFmt numFmtId="177" formatCode="#,##0"/>
    <numFmt numFmtId="178" formatCode="0.0%"/>
    <numFmt numFmtId="179" formatCode="#,##0"/>
    <numFmt numFmtId="180" formatCode="0.00"/>
    <numFmt numFmtId="181" formatCode="0.00"/>
    <numFmt numFmtId="182" formatCode="0.00"/>
    <numFmt numFmtId="183" formatCode="0.0%"/>
    <numFmt numFmtId="184" formatCode="0%"/>
    <numFmt numFmtId="185" formatCode="#,##0"/>
    <numFmt numFmtId="186" formatCode="0%"/>
    <numFmt numFmtId="187" formatCode="#,##0"/>
    <numFmt numFmtId="188" formatCode="0"/>
    <numFmt numFmtId="189" formatCode="#,##0"/>
    <numFmt numFmtId="190" formatCode="#,##0"/>
    <numFmt numFmtId="191" formatCode="0&quot;.&quot;0,&quot;万&quot;"/>
    <numFmt numFmtId="192" formatCode="0.00%"/>
    <numFmt numFmtId="193" formatCode="0&quot;.&quot;0,&quot;万&quot;"/>
    <numFmt numFmtId="194" formatCode="0&quot;.&quot;0,&quot;万&quot;"/>
    <numFmt numFmtId="195" formatCode="0&quot;.&quot;0,&quot;万&quot;"/>
    <numFmt numFmtId="196" formatCode="0&quot;.&quot;0,&quot;万&quot;"/>
    <numFmt numFmtId="197" formatCode="0.00%"/>
    <numFmt numFmtId="198" formatCode="0"/>
    <numFmt numFmtId="199" formatCode="0.00"/>
    <numFmt numFmtId="200" formatCode="0"/>
    <numFmt numFmtId="201" formatCode="0&quot;.&quot;0,&quot;万&quot;"/>
    <numFmt numFmtId="202" formatCode="0"/>
    <numFmt numFmtId="203" formatCode="0%"/>
    <numFmt numFmtId="204" formatCode="0.00%"/>
    <numFmt numFmtId="205" formatCode="0"/>
    <numFmt numFmtId="206" formatCode="#,##0"/>
    <numFmt numFmtId="207" formatCode="#,##0"/>
    <numFmt numFmtId="208" formatCode="_ * #,##0_ ;_ * \-#,##0_ ;_ * &quot;-&quot;??_ ;_ @_ "/>
    <numFmt numFmtId="209" formatCode="0.0%"/>
    <numFmt numFmtId="210" formatCode="_ * #,##0_ ;_ * \-#,##0_ ;_ * &quot;-&quot;??_ ;_ @_ "/>
    <numFmt numFmtId="211" formatCode="0.0%"/>
    <numFmt numFmtId="212" formatCode="_ * #,##0_ ;_ * \-#,##0_ ;_ * &quot;-&quot;??_ ;_ @_ "/>
    <numFmt numFmtId="213" formatCode="_ * #,##0_ ;_ * \-#,##0_ ;_ * &quot;-&quot;??_ ;_ @_ "/>
    <numFmt numFmtId="214" formatCode="0.0%"/>
    <numFmt numFmtId="215" formatCode="0%"/>
    <numFmt numFmtId="216" formatCode="_ * #,##0_ ;_ * \-#,##0_ ;_ * &quot;-&quot;??_ ;_ @_ "/>
    <numFmt numFmtId="217" formatCode="_ * #,##0_ ;_ * \-#,##0_ ;_ * &quot;-&quot;??_ ;_ @_ "/>
    <numFmt numFmtId="218" formatCode="_ * #,##0_ ;_ * \-#,##0_ ;_ * &quot;-&quot;??_ ;_ @_ "/>
    <numFmt numFmtId="219" formatCode="0.0%"/>
    <numFmt numFmtId="220" formatCode="_ * #,##0_ ;_ * \-#,##0_ ;_ * &quot;-&quot;??_ ;_ @_ "/>
    <numFmt numFmtId="221" formatCode="#,##0"/>
    <numFmt numFmtId="222" formatCode="_ * #,##0.00_ ;_ * \-#,##0.00_ ;_ * &quot;-&quot;??_ ;_ @_ "/>
    <numFmt numFmtId="223" formatCode="0.00%"/>
    <numFmt numFmtId="224" formatCode="0%"/>
    <numFmt numFmtId="225" formatCode="0%"/>
    <numFmt numFmtId="226" formatCode="0.000%"/>
    <numFmt numFmtId="227" formatCode="0%"/>
    <numFmt numFmtId="228" formatCode="0.00%"/>
    <numFmt numFmtId="229" formatCode="_ * #,##0_ ;_ * \-#,##0_ ;_ * &quot;-&quot;??_ ;_ @_ "/>
    <numFmt numFmtId="230" formatCode="_ * #,##0_ ;_ * \-#,##0_ ;_ * &quot;-&quot;??_ ;_ @_ "/>
    <numFmt numFmtId="231" formatCode="0.0%"/>
    <numFmt numFmtId="232" formatCode="General"/>
    <numFmt numFmtId="233" formatCode="_ * #,##0_ ;_ * \-#,##0_ ;_ * &quot;-&quot;??_ ;_ @_ "/>
    <numFmt numFmtId="234" formatCode="0.0%"/>
    <numFmt numFmtId="235" formatCode="#,##0"/>
    <numFmt numFmtId="236" formatCode="_ * #,##0_ ;_ * \-#,##0_ ;_ * &quot;-&quot;??_ ;_ @_ "/>
    <numFmt numFmtId="237" formatCode="#,##0"/>
    <numFmt numFmtId="238" formatCode="0.0%"/>
    <numFmt numFmtId="239" formatCode="_ * #,##0_ ;_ * \-#,##0_ ;_ * &quot;-&quot;??_ ;_ @_ "/>
    <numFmt numFmtId="240" formatCode="0.00%"/>
    <numFmt numFmtId="241" formatCode="0&quot;.&quot;0,&quot;万&quot;"/>
    <numFmt numFmtId="242" formatCode="_ * #,##0_ ;_ * \-#,##0_ ;_ * &quot;-&quot;??_ ;_ @_ "/>
    <numFmt numFmtId="243" formatCode="_ * #,##0_ ;_ * \-#,##0_ ;_ * &quot;-&quot;??_ ;_ @_ "/>
    <numFmt numFmtId="244" formatCode="_ * #,##0_ ;_ * \-#,##0_ ;_ * &quot;-&quot;??_ ;_ @_ "/>
    <numFmt numFmtId="245" formatCode="0.0%"/>
    <numFmt numFmtId="246" formatCode="#,##0"/>
    <numFmt numFmtId="247" formatCode="_ * #,##0_ ;_ * \-#,##0_ ;_ * &quot;-&quot;??_ ;_ @_ "/>
    <numFmt numFmtId="248" formatCode="_ * #,##0_ ;_ * \-#,##0_ ;_ * &quot;-&quot;??_ ;_ @_ "/>
    <numFmt numFmtId="249" formatCode="0.0%"/>
    <numFmt numFmtId="250" formatCode="_ * #,##0_ ;_ * \-#,##0_ ;_ * &quot;-&quot;??_ ;_ @_ "/>
    <numFmt numFmtId="251" formatCode="0&quot;.&quot;0,&quot;万&quot;"/>
    <numFmt numFmtId="252" formatCode="_ * #,##0_ ;_ * \-#,##0_ ;_ * &quot;-&quot;??_ ;_ @_ "/>
    <numFmt numFmtId="253" formatCode="_ * #,##0_ ;_ * \-#,##0_ ;_ * &quot;-&quot;??_ ;_ @_ "/>
    <numFmt numFmtId="254" formatCode="0.0%"/>
    <numFmt numFmtId="255" formatCode="_ * #,##0_ ;_ * \-#,##0_ ;_ * &quot;-&quot;??_ ;_ @_ "/>
    <numFmt numFmtId="256" formatCode="_ * #,##0_ ;_ * \-#,##0_ ;_ * &quot;-&quot;??_ ;_ @_ "/>
    <numFmt numFmtId="257" formatCode="0&quot;.&quot;0,&quot;万&quot;"/>
    <numFmt numFmtId="258" formatCode="0.0%"/>
    <numFmt numFmtId="259" formatCode="_ * #,##0_ ;_ * \-#,##0_ ;_ * &quot;-&quot;??_ ;_ @_ "/>
    <numFmt numFmtId="260" formatCode="_ * #,##0_ ;_ * \-#,##0_ ;_ * &quot;-&quot;??_ ;_ @_ "/>
    <numFmt numFmtId="261" formatCode="0.0%"/>
    <numFmt numFmtId="262" formatCode="_ * #,##0_ ;_ * \-#,##0_ ;_ * &quot;-&quot;??_ ;_ @_ "/>
    <numFmt numFmtId="263" formatCode="_ * #,##0_ ;_ * \-#,##0_ ;_ * &quot;-&quot;??_ ;_ @_ "/>
    <numFmt numFmtId="264" formatCode="_ * #,##0_ ;_ * \-#,##0_ ;_ * &quot;-&quot;??_ ;_ @_ "/>
    <numFmt numFmtId="265" formatCode="_ * #,##0_ ;_ * \-#,##0_ ;_ * &quot;-&quot;??_ ;_ @_ "/>
    <numFmt numFmtId="266" formatCode="0&quot;.&quot;0,&quot;万&quot;"/>
    <numFmt numFmtId="267" formatCode="0&quot;.&quot;0,&quot;万&quot;"/>
    <numFmt numFmtId="268" formatCode="_ * #,##0_ ;_ * \-#,##0_ ;_ * &quot;-&quot;??_ ;_ @_ "/>
    <numFmt numFmtId="269" formatCode="0.0%"/>
    <numFmt numFmtId="270" formatCode="#,##0.00"/>
    <numFmt numFmtId="271" formatCode="#,##0.00"/>
    <numFmt numFmtId="272" formatCode="0&quot;.&quot;0,&quot;万&quot;"/>
    <numFmt numFmtId="273" formatCode="0.0%"/>
    <numFmt numFmtId="274" formatCode="#,##0"/>
    <numFmt numFmtId="275" formatCode="0.0%"/>
    <numFmt numFmtId="276" formatCode="#,##0"/>
    <numFmt numFmtId="277" formatCode="0.00%"/>
    <numFmt numFmtId="278" formatCode="_ * #,##0_ ;_ * \-#,##0_ ;_ * &quot;-&quot;??_ ;_ @_ "/>
    <numFmt numFmtId="279" formatCode="_ * #,##0_ ;_ * \-#,##0_ ;_ * &quot;-&quot;??_ ;_ @_ "/>
    <numFmt numFmtId="280" formatCode="0.0"/>
    <numFmt numFmtId="281" formatCode="_ * #,##0_ ;_ * \-#,##0_ ;_ * &quot;-&quot;??_ ;_ @_ "/>
    <numFmt numFmtId="282" formatCode="0%"/>
    <numFmt numFmtId="283" formatCode="#,##0"/>
    <numFmt numFmtId="284" formatCode="0%"/>
    <numFmt numFmtId="285" formatCode="0.00%"/>
    <numFmt numFmtId="286" formatCode="0.00%"/>
    <numFmt numFmtId="287" formatCode="0%"/>
    <numFmt numFmtId="288" formatCode="#,##0"/>
    <numFmt numFmtId="289" formatCode="#,##0.00"/>
    <numFmt numFmtId="290" formatCode="_ * #,##0_ ;_ * \-#,##0_ ;_ * &quot;-&quot;??_ ;_ @_ "/>
    <numFmt numFmtId="291" formatCode="0%"/>
    <numFmt numFmtId="292" formatCode="0&quot;.&quot;0,&quot;万&quot;"/>
    <numFmt numFmtId="293" formatCode="0%"/>
    <numFmt numFmtId="294" formatCode="0&quot;.&quot;0,&quot;万&quot;"/>
    <numFmt numFmtId="295" formatCode="_ * #,##0_ ;_ * \-#,##0_ ;_ * &quot;-&quot;??_ ;_ @_ "/>
    <numFmt numFmtId="296" formatCode="0%"/>
    <numFmt numFmtId="297" formatCode="_ * #,##0_ ;_ * \-#,##0_ ;_ * &quot;-&quot;??_ ;_ @_ "/>
    <numFmt numFmtId="298" formatCode="0.0%"/>
    <numFmt numFmtId="299" formatCode="0.00%"/>
    <numFmt numFmtId="300" formatCode="0%"/>
    <numFmt numFmtId="301" formatCode="0.0%"/>
    <numFmt numFmtId="302" formatCode="_ * #,##0_ ;_ * \-#,##0_ ;_ * &quot;-&quot;??_ ;_ @_ "/>
    <numFmt numFmtId="303" formatCode="_ * #,##0_ ;_ * \-#,##0_ ;_ * &quot;-&quot;??_ ;_ @_ "/>
    <numFmt numFmtId="304" formatCode="#,##0"/>
    <numFmt numFmtId="305" formatCode="0%"/>
    <numFmt numFmtId="306" formatCode="_ * #,##0_ ;_ * \-#,##0_ ;_ * &quot;-&quot;??_ ;_ @_ "/>
    <numFmt numFmtId="307" formatCode="_ * #,##0_ ;_ * \-#,##0_ ;_ * &quot;-&quot;??_ ;_ @_ "/>
    <numFmt numFmtId="308" formatCode="_ * #,##0_ ;_ * \-#,##0_ ;_ * &quot;-&quot;??_ ;_ @_ "/>
    <numFmt numFmtId="309" formatCode="#,##0.00"/>
    <numFmt numFmtId="310" formatCode="0.00%"/>
    <numFmt numFmtId="311" formatCode="0.0%"/>
    <numFmt numFmtId="312" formatCode="_ * #,##0_ ;_ * \-#,##0_ ;_ * &quot;-&quot;??_ ;_ @_ "/>
    <numFmt numFmtId="313" formatCode="_ * #,##0_ ;_ * \-#,##0_ ;_ * &quot;-&quot;??_ ;_ @_ "/>
    <numFmt numFmtId="314" formatCode="0.0%"/>
    <numFmt numFmtId="315" formatCode="0.00%"/>
    <numFmt numFmtId="316" formatCode="_ * #,##0_ ;_ * \-#,##0_ ;_ * &quot;-&quot;??_ ;_ @_ "/>
    <numFmt numFmtId="317" formatCode="0.0%"/>
    <numFmt numFmtId="318" formatCode="0.00%"/>
    <numFmt numFmtId="319" formatCode="0.00%"/>
    <numFmt numFmtId="320" formatCode="_ * #,##0_ ;_ * \-#,##0_ ;_ * &quot;-&quot;??_ ;_ @_ "/>
    <numFmt numFmtId="321" formatCode="0%"/>
    <numFmt numFmtId="322" formatCode="0%"/>
    <numFmt numFmtId="323" formatCode="_ * #,##0.000_ ;_ * \-#,##0.000_ ;_ * &quot;-&quot;??.000_ ;_ @_ "/>
    <numFmt numFmtId="324" formatCode="#,##0.00"/>
  </numFmts>
  <fonts count="25"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2"/>
      <color rgb="FF000000"/>
      <name val="Calibri"/>
      <family val="2"/>
      <scheme val="minor"/>
    </font>
    <font>
      <sz val="9"/>
      <color rgb="FF1F2329"/>
      <name val="Calibri"/>
      <family val="2"/>
      <scheme val="minor"/>
    </font>
    <font>
      <sz val="10"/>
      <color rgb="FF1F2329"/>
      <name val="Calibri"/>
      <family val="2"/>
      <scheme val="minor"/>
    </font>
    <font>
      <sz val="11"/>
      <color rgb="FF000000"/>
      <name val="Calibri"/>
      <family val="2"/>
      <scheme val="minor"/>
    </font>
    <font>
      <b val="true"/>
      <sz val="10"/>
      <color rgb="FFF54A45"/>
      <name val="Calibri"/>
      <family val="2"/>
      <scheme val="minor"/>
    </font>
    <font>
      <b val="true"/>
      <sz val="10"/>
      <color rgb="FFFFFFFF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 val="true"/>
      <sz val="11"/>
      <color rgb="FF000000"/>
      <name val="Calibri"/>
      <family val="2"/>
      <scheme val="minor"/>
    </font>
    <font>
      <i val="true"/>
      <sz val="11"/>
      <color rgb="FFB26123"/>
      <name val="Calibri"/>
      <family val="2"/>
      <scheme val="minor"/>
    </font>
    <font>
      <b val="true"/>
      <sz val="11"/>
      <color rgb="FFFFFFFF"/>
      <name val="Calibri"/>
      <family val="2"/>
      <scheme val="minor"/>
    </font>
    <font>
      <sz val="10"/>
      <color rgb="FFF54A45"/>
      <name val="Calibri"/>
      <family val="2"/>
      <scheme val="minor"/>
    </font>
    <font>
      <b val="true"/>
      <sz val="11"/>
      <color rgb="FF000000"/>
      <name val="Calibri"/>
      <family val="2"/>
      <scheme val="minor"/>
    </font>
    <font>
      <b val="true"/>
      <sz val="10"/>
      <color rgb="FF1F2329"/>
      <name val="Calibri"/>
      <family val="2"/>
      <scheme val="minor"/>
    </font>
    <font>
      <b val="true"/>
      <i val="true"/>
      <sz val="11"/>
      <color rgb="FF1F2329"/>
      <name val="Calibri"/>
      <family val="2"/>
      <scheme val="minor"/>
    </font>
    <font>
      <sz val="11"/>
      <color rgb="FF3A9A93"/>
      <name val="Calibri"/>
      <family val="2"/>
      <scheme val="minor"/>
    </font>
    <font>
      <sz val="11"/>
      <color rgb="FFF54A45"/>
      <name val="Calibri"/>
      <family val="2"/>
      <scheme val="minor"/>
    </font>
    <font>
      <sz val="10"/>
      <color rgb="FF8F959E"/>
      <name val="Calibri"/>
      <family val="2"/>
      <scheme val="minor"/>
    </font>
    <font>
      <sz val="11"/>
      <color rgb="FF8F959E"/>
      <name val="Calibri"/>
      <family val="2"/>
      <scheme val="minor"/>
    </font>
  </fonts>
  <fills count="91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DFF2FC"/>
        <bgColor/>
      </patternFill>
    </fill>
    <fill>
      <patternFill patternType="solid">
        <fgColor rgb="FFECE2FE"/>
        <bgColor/>
      </patternFill>
    </fill>
    <fill>
      <patternFill patternType="solid">
        <fgColor rgb="FFDFF2FC"/>
        <bgColor/>
      </patternFill>
    </fill>
    <fill>
      <patternFill patternType="solid">
        <fgColor rgb="FFAD82F7"/>
        <bgColor/>
      </patternFill>
    </fill>
    <fill>
      <patternFill patternType="solid">
        <fgColor rgb="FFECE2FE"/>
        <bgColor/>
      </patternFill>
    </fill>
    <fill>
      <patternFill patternType="solid">
        <fgColor rgb="FFC9E4B4"/>
        <bgColor/>
      </patternFill>
    </fill>
    <fill>
      <patternFill patternType="solid">
        <fgColor rgb="FFC9E4B4"/>
        <bgColor/>
      </patternFill>
    </fill>
    <fill>
      <patternFill patternType="solid">
        <fgColor rgb="FFC9E4B4"/>
        <bgColor/>
      </patternFill>
    </fill>
    <fill>
      <patternFill patternType="solid">
        <fgColor rgb="FF9CC3E6"/>
        <bgColor/>
      </patternFill>
    </fill>
    <fill>
      <patternFill patternType="solid">
        <fgColor rgb="FF9CC3E6"/>
        <bgColor/>
      </patternFill>
    </fill>
    <fill>
      <patternFill patternType="solid">
        <fgColor rgb="FF9CC3E6"/>
        <bgColor/>
      </patternFill>
    </fill>
    <fill>
      <patternFill patternType="solid">
        <fgColor rgb="FFDFF2FC"/>
        <bgColor/>
      </patternFill>
    </fill>
    <fill>
      <patternFill patternType="solid">
        <fgColor rgb="FFDFF2FC"/>
        <bgColor/>
      </patternFill>
    </fill>
    <fill>
      <patternFill patternType="solid">
        <fgColor rgb="FFDFF2FC"/>
        <bgColor/>
      </patternFill>
    </fill>
    <fill>
      <patternFill patternType="solid">
        <fgColor rgb="FFF8F9FA"/>
        <bgColor/>
      </patternFill>
    </fill>
    <fill>
      <patternFill patternType="solid">
        <fgColor rgb="FFCFCFCF"/>
        <bgColor/>
      </patternFill>
    </fill>
    <fill>
      <patternFill patternType="solid">
        <fgColor rgb="FFCFCFCF"/>
        <bgColor/>
      </patternFill>
    </fill>
    <fill>
      <patternFill patternType="solid">
        <fgColor rgb="FF6BA3D8"/>
        <bgColor/>
      </patternFill>
    </fill>
    <fill>
      <patternFill patternType="solid">
        <fgColor rgb="FF6BA3D8"/>
        <bgColor/>
      </patternFill>
    </fill>
    <fill>
      <patternFill patternType="solid">
        <fgColor rgb="FF6BA3D8"/>
        <bgColor/>
      </patternFill>
    </fill>
    <fill>
      <patternFill patternType="solid">
        <fgColor rgb="FFF8F9FA"/>
        <bgColor/>
      </patternFill>
    </fill>
    <fill>
      <patternFill patternType="solid">
        <fgColor rgb="FFB4BAC3"/>
        <bgColor/>
      </patternFill>
    </fill>
    <fill>
      <patternFill patternType="solid">
        <fgColor rgb="FF243A65"/>
        <bgColor/>
      </patternFill>
    </fill>
    <fill>
      <patternFill patternType="solid">
        <fgColor rgb="FFFAF1D1"/>
        <bgColor/>
      </patternFill>
    </fill>
    <fill>
      <patternFill patternType="solid">
        <fgColor rgb="FFFAF1D1"/>
        <bgColor/>
      </patternFill>
    </fill>
    <fill>
      <patternFill patternType="solid">
        <fgColor rgb="FF9CC3E6"/>
        <bgColor/>
      </patternFill>
    </fill>
    <fill>
      <patternFill patternType="solid">
        <fgColor rgb="FF9CC3E6"/>
        <bgColor/>
      </patternFill>
    </fill>
    <fill>
      <patternFill patternType="solid">
        <fgColor rgb="FFD9F3FD"/>
        <bgColor/>
      </patternFill>
    </fill>
    <fill>
      <patternFill patternType="solid">
        <fgColor rgb="FFDFF2FC"/>
        <bgColor/>
      </patternFill>
    </fill>
    <fill>
      <patternFill patternType="solid">
        <fgColor rgb="FFDFF2FC"/>
        <bgColor/>
      </patternFill>
    </fill>
    <fill>
      <patternFill patternType="solid">
        <fgColor rgb="FFDFF2FC"/>
        <bgColor/>
      </patternFill>
    </fill>
    <fill>
      <patternFill patternType="solid">
        <fgColor rgb="FFD9F3FD"/>
        <bgColor/>
      </patternFill>
    </fill>
    <fill>
      <patternFill patternType="solid">
        <fgColor rgb="FFD9F3FD"/>
        <bgColor/>
      </patternFill>
    </fill>
    <fill>
      <patternFill patternType="solid">
        <fgColor rgb="FFBACEFD"/>
        <bgColor/>
      </patternFill>
    </fill>
    <fill>
      <patternFill patternType="solid">
        <fgColor rgb="FFBACEFD"/>
        <bgColor/>
      </patternFill>
    </fill>
    <fill>
      <patternFill patternType="solid">
        <fgColor rgb="FFBACEFD"/>
        <bgColor/>
      </patternFill>
    </fill>
    <fill>
      <patternFill patternType="solid">
        <fgColor rgb="FFBACEFD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BACEFD"/>
        <bgColor/>
      </patternFill>
    </fill>
    <fill>
      <patternFill patternType="solid">
        <fgColor rgb="FFBACEFD"/>
        <bgColor/>
      </patternFill>
    </fill>
    <fill>
      <patternFill patternType="solid">
        <fgColor rgb="FFE1EAFF"/>
        <bgColor/>
      </patternFill>
    </fill>
    <fill>
      <patternFill patternType="solid">
        <fgColor rgb="FFE1EAFF"/>
        <bgColor/>
      </patternFill>
    </fill>
    <fill>
      <patternFill patternType="solid">
        <fgColor rgb="FFBACEFD"/>
        <bgColor/>
      </patternFill>
    </fill>
    <fill>
      <patternFill patternType="solid">
        <fgColor rgb="FF6BA3D8"/>
        <bgColor/>
      </patternFill>
    </fill>
    <fill>
      <patternFill patternType="solid">
        <fgColor rgb="FF6BA3D8"/>
        <bgColor/>
      </patternFill>
    </fill>
    <fill>
      <patternFill patternType="solid">
        <fgColor rgb="FF9CC3E6"/>
        <bgColor/>
      </patternFill>
    </fill>
    <fill>
      <patternFill patternType="solid">
        <fgColor rgb="FFF8F9FA"/>
        <bgColor/>
      </patternFill>
    </fill>
    <fill>
      <patternFill patternType="solid">
        <fgColor rgb="FFF8F9FA"/>
        <bgColor/>
      </patternFill>
    </fill>
    <fill>
      <patternFill patternType="solid">
        <fgColor rgb="FFDFF2FC"/>
        <bgColor/>
      </patternFill>
    </fill>
    <fill>
      <patternFill patternType="solid">
        <fgColor rgb="FFDFF2FC"/>
        <bgColor/>
      </patternFill>
    </fill>
    <fill>
      <patternFill patternType="solid">
        <fgColor rgb="FF9CC3E6"/>
        <bgColor/>
      </patternFill>
    </fill>
    <fill>
      <patternFill patternType="solid">
        <fgColor rgb="FFF8F9FA"/>
        <bgColor/>
      </patternFill>
    </fill>
    <fill>
      <patternFill patternType="solid">
        <fgColor rgb="FFDFF2FC"/>
        <bgColor/>
      </patternFill>
    </fill>
    <fill>
      <patternFill patternType="solid">
        <fgColor rgb="FFF8F9FA"/>
        <bgColor/>
      </patternFill>
    </fill>
    <fill>
      <patternFill patternType="solid">
        <fgColor rgb="FFDFF2FC"/>
        <bgColor/>
      </patternFill>
    </fill>
    <fill>
      <patternFill patternType="solid">
        <fgColor rgb="FFDFF2FC"/>
        <bgColor/>
      </patternFill>
    </fill>
    <fill>
      <patternFill patternType="solid">
        <fgColor rgb="FFDFF2FC"/>
        <bgColor/>
      </patternFill>
    </fill>
    <fill>
      <patternFill patternType="solid">
        <fgColor rgb="FFDFF2FC"/>
        <bgColor/>
      </patternFill>
    </fill>
    <fill>
      <patternFill patternType="solid">
        <fgColor rgb="FF6BA3D8"/>
        <bgColor/>
      </patternFill>
    </fill>
    <fill>
      <patternFill patternType="solid">
        <fgColor rgb="FF6BA3D8"/>
        <bgColor/>
      </patternFill>
    </fill>
    <fill>
      <patternFill patternType="solid">
        <fgColor rgb="FFF8F9FA"/>
        <bgColor/>
      </patternFill>
    </fill>
    <fill>
      <patternFill patternType="solid">
        <fgColor rgb="FF6BA3D8"/>
        <bgColor/>
      </patternFill>
    </fill>
    <fill>
      <patternFill patternType="solid">
        <fgColor rgb="FFCFCFCF"/>
        <bgColor/>
      </patternFill>
    </fill>
    <fill>
      <patternFill patternType="solid">
        <fgColor rgb="FFCFCFCF"/>
        <bgColor/>
      </patternFill>
    </fill>
    <fill>
      <patternFill patternType="solid">
        <fgColor rgb="FFB4BAC3"/>
        <bgColor/>
      </patternFill>
    </fill>
    <fill>
      <patternFill patternType="solid">
        <fgColor rgb="FFF8F9FA"/>
        <bgColor/>
      </patternFill>
    </fill>
    <fill>
      <patternFill patternType="solid">
        <fgColor rgb="FF6BA3D8"/>
        <bgColor/>
      </patternFill>
    </fill>
    <fill>
      <patternFill patternType="solid">
        <fgColor rgb="FF9CC3E6"/>
        <bgColor/>
      </patternFill>
    </fill>
    <fill>
      <patternFill patternType="solid">
        <fgColor rgb="FF9CC3E6"/>
        <bgColor/>
      </patternFill>
    </fill>
    <fill>
      <patternFill patternType="solid">
        <fgColor rgb="FF9CC3E6"/>
        <bgColor/>
      </patternFill>
    </fill>
    <fill>
      <patternFill patternType="solid">
        <fgColor rgb="FFDFF2FC"/>
        <bgColor/>
      </patternFill>
    </fill>
    <fill>
      <patternFill patternType="solid">
        <fgColor rgb="FFCFCFCF"/>
        <bgColor/>
      </patternFill>
    </fill>
    <fill>
      <patternFill patternType="solid">
        <fgColor rgb="FFDFF2FC"/>
        <bgColor/>
      </patternFill>
    </fill>
    <fill>
      <patternFill patternType="solid">
        <fgColor rgb="FFF8F9FA"/>
        <bgColor/>
      </patternFill>
    </fill>
  </fills>
  <borders count="230"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/>
      <top/>
      <bottom/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1" numFmtId="0" xfId="0">
      <alignment horizontal="center" vertical="center"/>
    </xf>
    <xf applyAlignment="true" applyBorder="false" applyFill="true" applyFont="true" applyNumberFormat="false" applyProtection="false" borderId="2" fillId="2" fontId="2" numFmtId="0" xfId="0">
      <alignment horizontal="center" vertical="center"/>
    </xf>
    <xf applyAlignment="true" applyBorder="false" applyFill="true" applyFont="true" applyNumberFormat="false" applyProtection="false" borderId="3" fillId="3" fontId="2" numFmtId="0" xfId="0">
      <alignment horizontal="center" vertical="center" wrapText="true"/>
    </xf>
    <xf applyAlignment="true" applyBorder="false" applyFill="true" applyFont="true" applyNumberFormat="true" applyProtection="false" borderId="4" fillId="4" fontId="3" numFmtId="164" xfId="0">
      <alignment horizontal="center" vertical="center"/>
    </xf>
    <xf applyAlignment="true" applyBorder="false" applyFill="false" applyFont="true" applyNumberFormat="true" applyProtection="false" borderId="5" fillId="0" fontId="4" numFmtId="165" xfId="0">
      <alignment horizontal="center" vertical="center"/>
    </xf>
    <xf applyAlignment="true" applyBorder="false" applyFill="false" applyFont="true" applyNumberFormat="false" applyProtection="false" borderId="6" fillId="0" fontId="2" numFmtId="0" xfId="0">
      <alignment horizontal="center" vertical="center" wrapText="true"/>
    </xf>
    <xf applyAlignment="true" applyBorder="false" applyFill="false" applyFont="true" applyNumberFormat="true" applyProtection="false" borderId="7" fillId="0" fontId="1" numFmtId="166" xfId="0">
      <alignment horizontal="center" vertical="center"/>
    </xf>
    <xf applyAlignment="true" applyBorder="false" applyFill="false" applyFont="true" applyNumberFormat="false" applyProtection="false" borderId="8" fillId="0" fontId="2" numFmtId="0" xfId="0">
      <alignment horizontal="center" vertical="center"/>
    </xf>
    <xf applyAlignment="true" applyBorder="false" applyFill="false" applyFont="true" applyNumberFormat="true" applyProtection="false" borderId="9" fillId="0" fontId="3" numFmtId="167" xfId="0">
      <alignment horizontal="center" vertical="center"/>
    </xf>
    <xf applyAlignment="true" applyBorder="false" applyFill="false" applyFont="true" applyNumberFormat="true" applyProtection="false" borderId="10" fillId="0" fontId="4" numFmtId="168" xfId="0">
      <alignment horizontal="center" vertical="center"/>
    </xf>
    <xf applyAlignment="true" applyBorder="false" applyFill="true" applyFont="true" applyNumberFormat="false" applyProtection="false" borderId="11" fillId="5" fontId="5" numFmtId="0" xfId="0">
      <alignment horizontal="center" vertical="center"/>
    </xf>
    <xf applyAlignment="true" applyBorder="false" applyFill="true" applyFont="true" applyNumberFormat="true" applyProtection="false" borderId="12" fillId="6" fontId="5" numFmtId="169" xfId="0">
      <alignment horizontal="center" vertical="center"/>
    </xf>
    <xf applyAlignment="true" applyBorder="false" applyFill="false" applyFont="true" applyNumberFormat="true" applyProtection="false" borderId="13" fillId="0" fontId="1" numFmtId="170" xfId="0">
      <alignment vertical="center"/>
    </xf>
    <xf applyAlignment="true" applyBorder="false" applyFill="false" applyFont="true" applyNumberFormat="false" applyProtection="false" borderId="14" fillId="0" fontId="6" numFmtId="0" xfId="0">
      <alignment horizontal="center" vertical="center"/>
    </xf>
    <xf applyAlignment="true" applyBorder="false" applyFill="false" applyFont="true" applyNumberFormat="false" applyProtection="false" borderId="15" fillId="0" fontId="1" numFmtId="0" xfId="0">
      <alignment vertical="center"/>
    </xf>
    <xf applyAlignment="true" applyBorder="false" applyFill="false" applyFont="true" applyNumberFormat="true" applyProtection="false" borderId="16" fillId="0" fontId="3" numFmtId="171" xfId="0">
      <alignment horizontal="center" vertical="center"/>
    </xf>
    <xf applyAlignment="true" applyBorder="false" applyFill="false" applyFont="true" applyNumberFormat="false" applyProtection="false" borderId="17" fillId="0" fontId="2" numFmtId="0" xfId="0">
      <alignment horizontal="center" vertical="center" wrapText="true"/>
    </xf>
    <xf applyAlignment="true" applyBorder="false" applyFill="false" applyFont="true" applyNumberFormat="true" applyProtection="false" borderId="18" fillId="0" fontId="2" numFmtId="172" xfId="0">
      <alignment horizontal="center" vertical="center" wrapText="true"/>
    </xf>
    <xf applyAlignment="true" applyBorder="false" applyFill="false" applyFont="true" applyNumberFormat="false" applyProtection="false" borderId="19" fillId="0" fontId="3" numFmtId="0" xfId="0">
      <alignment horizontal="center" vertical="center"/>
    </xf>
    <xf applyAlignment="true" applyBorder="false" applyFill="true" applyFont="true" applyNumberFormat="false" applyProtection="false" borderId="20" fillId="7" fontId="5" numFmtId="0" xfId="0">
      <alignment horizontal="center" vertical="center"/>
    </xf>
    <xf applyAlignment="true" applyBorder="false" applyFill="true" applyFont="true" applyNumberFormat="true" applyProtection="false" borderId="21" fillId="8" fontId="5" numFmtId="173" xfId="0">
      <alignment horizontal="center" vertical="center"/>
    </xf>
    <xf applyAlignment="true" applyBorder="false" applyFill="false" applyFont="true" applyNumberFormat="false" applyProtection="false" borderId="22" fillId="0" fontId="3" numFmtId="0" xfId="0">
      <alignment horizontal="center" vertical="center"/>
    </xf>
    <xf applyAlignment="true" applyBorder="false" applyFill="false" applyFont="true" applyNumberFormat="true" applyProtection="false" borderId="23" fillId="0" fontId="3" numFmtId="174" xfId="0">
      <alignment horizontal="center" vertical="center"/>
    </xf>
    <xf applyAlignment="true" applyBorder="false" applyFill="false" applyFont="true" applyNumberFormat="true" applyProtection="false" borderId="24" fillId="0" fontId="3" numFmtId="175" xfId="0">
      <alignment horizontal="center" vertical="center"/>
    </xf>
    <xf applyAlignment="true" applyBorder="false" applyFill="false" applyFont="true" applyNumberFormat="true" applyProtection="false" borderId="25" fillId="0" fontId="3" numFmtId="176" xfId="0">
      <alignment horizontal="center" vertical="center"/>
    </xf>
    <xf applyAlignment="true" applyBorder="false" applyFill="false" applyFont="true" applyNumberFormat="false" applyProtection="false" borderId="26" fillId="0" fontId="1" numFmtId="0" xfId="0">
      <alignment vertical="center" wrapText="true"/>
    </xf>
    <xf applyAlignment="true" applyBorder="false" applyFill="true" applyFont="true" applyNumberFormat="true" applyProtection="false" borderId="27" fillId="9" fontId="2" numFmtId="177" xfId="0">
      <alignment horizontal="center" vertical="center"/>
    </xf>
    <xf applyAlignment="true" applyBorder="false" applyFill="true" applyFont="true" applyNumberFormat="false" applyProtection="false" borderId="28" fillId="10" fontId="2" numFmtId="0" xfId="0">
      <alignment horizontal="center" vertical="center" wrapText="true"/>
    </xf>
    <xf applyAlignment="true" applyBorder="false" applyFill="true" applyFont="true" applyNumberFormat="true" applyProtection="false" borderId="29" fillId="11" fontId="3" numFmtId="178" xfId="0">
      <alignment horizontal="center" vertical="center"/>
    </xf>
    <xf applyAlignment="true" applyBorder="false" applyFill="false" applyFont="true" applyNumberFormat="true" applyProtection="false" borderId="30" fillId="0" fontId="7" numFmtId="179" xfId="0">
      <alignment horizontal="center" vertical="center"/>
    </xf>
    <xf applyAlignment="true" applyBorder="false" applyFill="false" applyFont="true" applyNumberFormat="true" applyProtection="false" borderId="31" fillId="0" fontId="3" numFmtId="180" xfId="0">
      <alignment horizontal="center" vertical="center"/>
    </xf>
    <xf applyAlignment="true" applyBorder="false" applyFill="false" applyFont="true" applyNumberFormat="false" applyProtection="false" borderId="32" fillId="0" fontId="5" numFmtId="0" xfId="0">
      <alignment horizontal="center" vertical="center" wrapText="true"/>
    </xf>
    <xf applyAlignment="true" applyBorder="false" applyFill="false" applyFont="true" applyNumberFormat="true" applyProtection="false" borderId="33" fillId="0" fontId="8" numFmtId="181" xfId="0">
      <alignment horizontal="center" vertical="center"/>
    </xf>
    <xf applyAlignment="true" applyBorder="false" applyFill="false" applyFont="true" applyNumberFormat="true" applyProtection="false" borderId="34" fillId="0" fontId="7" numFmtId="182" xfId="0">
      <alignment horizontal="center" vertical="center"/>
    </xf>
    <xf applyAlignment="true" applyBorder="false" applyFill="false" applyFont="true" applyNumberFormat="false" applyProtection="false" borderId="35" fillId="0" fontId="5" numFmtId="0" xfId="0">
      <alignment horizontal="center" vertical="center"/>
    </xf>
    <xf applyAlignment="true" applyBorder="false" applyFill="false" applyFont="true" applyNumberFormat="false" applyProtection="false" borderId="36" fillId="0" fontId="2" numFmtId="0" xfId="0">
      <alignment horizontal="center" vertical="center"/>
    </xf>
    <xf applyAlignment="true" applyBorder="false" applyFill="false" applyFont="true" applyNumberFormat="false" applyProtection="false" borderId="37" fillId="0" fontId="5" numFmtId="0" xfId="0">
      <alignment horizontal="center" vertical="center" wrapText="true"/>
    </xf>
    <xf applyAlignment="true" applyBorder="false" applyFill="true" applyFont="true" applyNumberFormat="false" applyProtection="false" borderId="38" fillId="12" fontId="5" numFmtId="0" xfId="0">
      <alignment horizontal="center" vertical="center" wrapText="true"/>
    </xf>
    <xf applyAlignment="true" applyBorder="false" applyFill="false" applyFont="true" applyNumberFormat="false" applyProtection="false" borderId="39" fillId="0" fontId="2" numFmtId="0" xfId="0">
      <alignment horizontal="center" vertical="center" wrapText="true"/>
    </xf>
    <xf applyAlignment="true" applyBorder="false" applyFill="false" applyFont="true" applyNumberFormat="true" applyProtection="false" borderId="40" fillId="0" fontId="5" numFmtId="183" xfId="0">
      <alignment horizontal="center" vertical="center" wrapText="true"/>
    </xf>
    <xf applyAlignment="true" applyBorder="false" applyFill="false" applyFont="true" applyNumberFormat="false" applyProtection="false" borderId="41" fillId="0" fontId="5" numFmtId="0" xfId="0">
      <alignment horizontal="center" vertical="center" wrapText="true"/>
    </xf>
    <xf applyAlignment="true" applyBorder="false" applyFill="true" applyFont="true" applyNumberFormat="true" applyProtection="false" borderId="42" fillId="13" fontId="5" numFmtId="184" xfId="0">
      <alignment horizontal="center" vertical="center"/>
    </xf>
    <xf applyAlignment="true" applyBorder="false" applyFill="false" applyFont="true" applyNumberFormat="true" applyProtection="false" borderId="43" fillId="0" fontId="8" numFmtId="185" xfId="0">
      <alignment horizontal="center" vertical="center"/>
    </xf>
    <xf applyAlignment="true" applyBorder="false" applyFill="false" applyFont="true" applyNumberFormat="true" applyProtection="false" borderId="44" fillId="0" fontId="1" numFmtId="186" xfId="0">
      <alignment horizontal="center" vertical="center"/>
    </xf>
    <xf applyAlignment="true" applyBorder="false" applyFill="false" applyFont="true" applyNumberFormat="true" applyProtection="false" borderId="45" fillId="0" fontId="8" numFmtId="187" xfId="0">
      <alignment horizontal="center" vertical="center"/>
    </xf>
    <xf applyAlignment="true" applyBorder="false" applyFill="false" applyFont="true" applyNumberFormat="true" applyProtection="false" borderId="46" fillId="0" fontId="3" numFmtId="188" xfId="0">
      <alignment horizontal="center" vertical="center"/>
    </xf>
    <xf applyAlignment="true" applyBorder="false" applyFill="false" applyFont="true" applyNumberFormat="false" applyProtection="false" borderId="47" fillId="0" fontId="5" numFmtId="0" xfId="0">
      <alignment horizontal="center" vertical="center" wrapText="true"/>
    </xf>
    <xf applyAlignment="true" applyBorder="false" applyFill="false" applyFont="true" applyNumberFormat="true" applyProtection="false" borderId="48" fillId="0" fontId="3" numFmtId="189" xfId="0">
      <alignment horizontal="center" vertical="center"/>
    </xf>
    <xf applyAlignment="true" applyBorder="false" applyFill="false" applyFont="true" applyNumberFormat="true" applyProtection="false" borderId="49" fillId="0" fontId="3" numFmtId="190" xfId="0">
      <alignment horizontal="center" vertical="center"/>
    </xf>
    <xf applyAlignment="true" applyBorder="false" applyFill="false" applyFont="true" applyNumberFormat="true" applyProtection="false" borderId="50" fillId="0" fontId="3" numFmtId="191" xfId="0">
      <alignment horizontal="center" vertical="center"/>
    </xf>
    <xf applyAlignment="true" applyBorder="false" applyFill="false" applyFont="true" applyNumberFormat="false" applyProtection="false" borderId="51" fillId="0" fontId="4" numFmtId="0" xfId="0">
      <alignment horizontal="center" vertical="center"/>
    </xf>
    <xf applyAlignment="true" applyBorder="false" applyFill="false" applyFont="true" applyNumberFormat="false" applyProtection="false" borderId="52" fillId="0" fontId="4" numFmtId="0" xfId="0">
      <alignment horizontal="center" vertical="center"/>
    </xf>
    <xf applyAlignment="true" applyBorder="false" applyFill="false" applyFont="true" applyNumberFormat="false" applyProtection="false" borderId="53" fillId="0" fontId="9" numFmtId="0" xfId="0">
      <alignment horizontal="center" vertical="center"/>
    </xf>
    <xf applyAlignment="true" applyBorder="false" applyFill="false" applyFont="true" applyNumberFormat="true" applyProtection="false" borderId="54" fillId="0" fontId="1" numFmtId="192" xfId="0">
      <alignment horizontal="center" vertical="center"/>
    </xf>
    <xf applyAlignment="true" applyBorder="false" applyFill="true" applyFont="true" applyNumberFormat="false" applyProtection="false" borderId="55" fillId="14" fontId="9" numFmtId="0" xfId="0">
      <alignment horizontal="center" vertical="center"/>
    </xf>
    <xf applyAlignment="true" applyBorder="false" applyFill="true" applyFont="true" applyNumberFormat="true" applyProtection="false" borderId="56" fillId="15" fontId="5" numFmtId="193" xfId="0">
      <alignment horizontal="center" vertical="center"/>
    </xf>
    <xf applyAlignment="true" applyBorder="false" applyFill="false" applyFont="true" applyNumberFormat="false" applyProtection="false" borderId="57" fillId="0" fontId="3" numFmtId="0" xfId="0">
      <alignment vertical="center"/>
    </xf>
    <xf applyAlignment="true" applyBorder="false" applyFill="false" applyFont="true" applyNumberFormat="false" applyProtection="false" borderId="58" fillId="0" fontId="9" numFmtId="0" xfId="0">
      <alignment horizontal="center" vertical="center"/>
    </xf>
    <xf applyAlignment="true" applyBorder="false" applyFill="true" applyFont="true" applyNumberFormat="false" applyProtection="false" borderId="59" fillId="16" fontId="9" numFmtId="0" xfId="0">
      <alignment horizontal="center" vertical="center"/>
    </xf>
    <xf applyAlignment="true" applyBorder="false" applyFill="false" applyFont="true" applyNumberFormat="true" applyProtection="false" borderId="60" fillId="0" fontId="10" numFmtId="194" xfId="0">
      <alignment horizontal="center" vertical="center"/>
    </xf>
    <xf applyAlignment="true" applyBorder="false" applyFill="false" applyFont="true" applyNumberFormat="true" applyProtection="false" borderId="61" fillId="0" fontId="5" numFmtId="195" xfId="0">
      <alignment horizontal="center" vertical="center"/>
    </xf>
    <xf applyAlignment="true" applyBorder="false" applyFill="false" applyFont="true" applyNumberFormat="false" applyProtection="false" borderId="62" fillId="0" fontId="1" numFmtId="0" xfId="0">
      <alignment horizontal="center" vertical="center"/>
    </xf>
    <xf applyAlignment="true" applyBorder="false" applyFill="true" applyFont="true" applyNumberFormat="true" applyProtection="false" borderId="63" fillId="17" fontId="11" numFmtId="196" xfId="0">
      <alignment horizontal="center" vertical="center"/>
    </xf>
    <xf applyAlignment="true" applyBorder="false" applyFill="true" applyFont="true" applyNumberFormat="true" applyProtection="false" borderId="64" fillId="18" fontId="5" numFmtId="197" xfId="0">
      <alignment horizontal="center" vertical="center"/>
    </xf>
    <xf applyAlignment="true" applyBorder="false" applyFill="false" applyFont="true" applyNumberFormat="true" applyProtection="false" borderId="65" fillId="0" fontId="4" numFmtId="198" xfId="0">
      <alignment horizontal="center" vertical="center"/>
    </xf>
    <xf applyAlignment="true" applyBorder="false" applyFill="false" applyFont="true" applyNumberFormat="false" applyProtection="false" borderId="66" fillId="0" fontId="1" numFmtId="0" xfId="0">
      <alignment horizontal="center" vertical="center"/>
    </xf>
    <xf applyAlignment="true" applyBorder="false" applyFill="false" applyFont="true" applyNumberFormat="true" applyProtection="false" borderId="67" fillId="0" fontId="1" numFmtId="199" xfId="0">
      <alignment vertical="center"/>
    </xf>
    <xf applyAlignment="true" applyBorder="false" applyFill="false" applyFont="true" applyNumberFormat="true" applyProtection="false" borderId="68" fillId="0" fontId="3" numFmtId="200" xfId="0">
      <alignment horizontal="center" vertical="center"/>
    </xf>
    <xf applyAlignment="true" applyBorder="false" applyFill="false" applyFont="true" applyNumberFormat="true" applyProtection="false" borderId="69" fillId="0" fontId="3" numFmtId="201" xfId="0">
      <alignment horizontal="center" vertical="center"/>
    </xf>
    <xf applyAlignment="true" applyBorder="false" applyFill="false" applyFont="true" applyNumberFormat="true" applyProtection="false" borderId="70" fillId="0" fontId="1" numFmtId="202" xfId="0">
      <alignment vertical="center"/>
    </xf>
    <xf applyAlignment="true" applyBorder="false" applyFill="false" applyFont="true" applyNumberFormat="true" applyProtection="false" borderId="71" fillId="0" fontId="1" numFmtId="203" xfId="0">
      <alignment vertical="center"/>
    </xf>
    <xf applyAlignment="true" applyBorder="false" applyFill="false" applyFont="true" applyNumberFormat="true" applyProtection="false" borderId="72" fillId="0" fontId="1" numFmtId="204" xfId="0">
      <alignment vertical="center"/>
    </xf>
    <xf applyAlignment="true" applyBorder="false" applyFill="false" applyFont="true" applyNumberFormat="true" applyProtection="false" borderId="73" fillId="0" fontId="1" numFmtId="205" xfId="0">
      <alignment horizontal="center" vertical="center"/>
    </xf>
    <xf applyAlignment="true" applyBorder="false" applyFill="false" applyFont="true" applyNumberFormat="false" applyProtection="false" borderId="74" fillId="0" fontId="12" numFmtId="0" xfId="0">
      <alignment vertical="center"/>
    </xf>
    <xf applyAlignment="true" applyBorder="false" applyFill="false" applyFont="true" applyNumberFormat="true" applyProtection="false" borderId="75" fillId="0" fontId="1" numFmtId="206" xfId="0">
      <alignment vertical="center"/>
    </xf>
    <xf applyAlignment="true" applyBorder="false" applyFill="true" applyFont="true" applyNumberFormat="false" applyProtection="false" borderId="76" fillId="19" fontId="2" numFmtId="0" xfId="0">
      <alignment horizontal="center" vertical="center"/>
    </xf>
    <xf applyAlignment="true" applyBorder="false" applyFill="false" applyFont="true" applyNumberFormat="true" applyProtection="false" borderId="77" fillId="0" fontId="1" numFmtId="207" xfId="0">
      <alignment horizontal="center" vertical="center"/>
    </xf>
    <xf applyAlignment="true" applyBorder="false" applyFill="false" applyFont="true" applyNumberFormat="false" applyProtection="false" borderId="78" fillId="0" fontId="12" numFmtId="0" xfId="0">
      <alignment horizontal="center" vertical="center"/>
    </xf>
    <xf applyAlignment="true" applyBorder="false" applyFill="true" applyFont="true" applyNumberFormat="false" applyProtection="false" borderId="79" fillId="20" fontId="2" numFmtId="0" xfId="0">
      <alignment horizontal="center" vertical="center"/>
    </xf>
    <xf applyAlignment="true" applyBorder="false" applyFill="true" applyFont="true" applyNumberFormat="false" applyProtection="false" borderId="80" fillId="21" fontId="2" numFmtId="0" xfId="0">
      <alignment horizontal="center" vertical="center"/>
    </xf>
    <xf applyAlignment="true" applyBorder="false" applyFill="true" applyFont="true" applyNumberFormat="true" applyProtection="false" borderId="81" fillId="22" fontId="13" numFmtId="208" xfId="0">
      <alignment vertical="center"/>
    </xf>
    <xf applyAlignment="true" applyBorder="false" applyFill="true" applyFont="true" applyNumberFormat="true" applyProtection="false" borderId="82" fillId="23" fontId="13" numFmtId="209" xfId="0">
      <alignment vertical="center"/>
    </xf>
    <xf applyAlignment="true" applyBorder="false" applyFill="true" applyFont="true" applyNumberFormat="false" applyProtection="false" borderId="83" fillId="24" fontId="13" numFmtId="0" xfId="0">
      <alignment horizontal="center" vertical="center"/>
    </xf>
    <xf applyAlignment="true" applyBorder="false" applyFill="true" applyFont="true" applyNumberFormat="true" applyProtection="false" borderId="84" fillId="25" fontId="13" numFmtId="210" xfId="0">
      <alignment vertical="center"/>
    </xf>
    <xf applyAlignment="true" applyBorder="false" applyFill="true" applyFont="true" applyNumberFormat="false" applyProtection="false" borderId="85" fillId="26" fontId="13" numFmtId="0" xfId="0">
      <alignment horizontal="center" vertical="center"/>
    </xf>
    <xf applyAlignment="true" applyBorder="false" applyFill="true" applyFont="true" applyNumberFormat="true" applyProtection="false" borderId="86" fillId="27" fontId="13" numFmtId="211" xfId="0">
      <alignment vertical="center"/>
    </xf>
    <xf applyAlignment="true" applyBorder="false" applyFill="false" applyFont="true" applyNumberFormat="false" applyProtection="false" borderId="87" fillId="0" fontId="13" numFmtId="0" xfId="0">
      <alignment vertical="center"/>
    </xf>
    <xf applyAlignment="true" applyBorder="false" applyFill="false" applyFont="true" applyNumberFormat="true" applyProtection="false" borderId="88" fillId="0" fontId="13" numFmtId="212" xfId="0">
      <alignment vertical="center"/>
    </xf>
    <xf applyAlignment="true" applyBorder="false" applyFill="true" applyFont="true" applyNumberFormat="true" applyProtection="false" borderId="89" fillId="28" fontId="13" numFmtId="213" xfId="0">
      <alignment vertical="center"/>
    </xf>
    <xf applyAlignment="true" applyBorder="false" applyFill="false" applyFont="true" applyNumberFormat="false" applyProtection="false" borderId="90" fillId="0" fontId="13" numFmtId="0" xfId="0">
      <alignment horizontal="center" vertical="center"/>
    </xf>
    <xf applyAlignment="true" applyBorder="false" applyFill="false" applyFont="true" applyNumberFormat="true" applyProtection="false" borderId="91" fillId="0" fontId="13" numFmtId="214" xfId="0">
      <alignment vertical="center"/>
    </xf>
    <xf applyAlignment="true" applyBorder="false" applyFill="false" applyFont="true" applyNumberFormat="true" applyProtection="false" borderId="92" fillId="0" fontId="14" numFmtId="215" xfId="0">
      <alignment vertical="center"/>
    </xf>
    <xf applyAlignment="true" applyBorder="false" applyFill="true" applyFont="true" applyNumberFormat="true" applyProtection="false" borderId="93" fillId="29" fontId="14" numFmtId="216" xfId="0">
      <alignment vertical="center"/>
    </xf>
    <xf applyAlignment="true" applyBorder="false" applyFill="true" applyFont="true" applyNumberFormat="true" applyProtection="false" borderId="94" fillId="30" fontId="14" numFmtId="217" xfId="0">
      <alignment horizontal="center" vertical="center"/>
    </xf>
    <xf applyAlignment="true" applyBorder="false" applyFill="true" applyFont="true" applyNumberFormat="true" applyProtection="false" borderId="95" fillId="31" fontId="14" numFmtId="218" xfId="0">
      <alignment vertical="center"/>
    </xf>
    <xf applyAlignment="true" applyBorder="false" applyFill="true" applyFont="true" applyNumberFormat="true" applyProtection="false" borderId="96" fillId="32" fontId="14" numFmtId="219" xfId="0">
      <alignment vertical="center"/>
    </xf>
    <xf applyAlignment="true" applyBorder="false" applyFill="false" applyFont="true" applyNumberFormat="false" applyProtection="false" borderId="97" fillId="0" fontId="14" numFmtId="0" xfId="0">
      <alignment vertical="center"/>
    </xf>
    <xf applyAlignment="true" applyBorder="false" applyFill="true" applyFont="true" applyNumberFormat="true" applyProtection="false" borderId="98" fillId="33" fontId="14" numFmtId="220" xfId="0">
      <alignment horizontal="center" vertical="center"/>
    </xf>
    <xf applyAlignment="true" applyBorder="false" applyFill="true" applyFont="true" applyNumberFormat="true" applyProtection="false" borderId="99" fillId="34" fontId="13" numFmtId="221" xfId="0">
      <alignment vertical="center"/>
    </xf>
    <xf applyAlignment="true" applyBorder="false" applyFill="false" applyFont="true" applyNumberFormat="true" applyProtection="false" borderId="100" fillId="0" fontId="13" numFmtId="222" xfId="0">
      <alignment vertical="center"/>
    </xf>
    <xf applyAlignment="true" applyBorder="false" applyFill="false" applyFont="true" applyNumberFormat="true" applyProtection="false" borderId="101" fillId="0" fontId="13" numFmtId="223" xfId="0">
      <alignment vertical="center"/>
    </xf>
    <xf applyAlignment="true" applyBorder="false" applyFill="false" applyFont="true" applyNumberFormat="true" applyProtection="false" borderId="102" fillId="0" fontId="15" numFmtId="224" xfId="0">
      <alignment horizontal="center" vertical="center"/>
    </xf>
    <xf applyAlignment="true" applyBorder="false" applyFill="false" applyFont="true" applyNumberFormat="true" applyProtection="false" borderId="103" fillId="0" fontId="15" numFmtId="225" xfId="0">
      <alignment horizontal="right" vertical="center"/>
    </xf>
    <xf applyAlignment="true" applyBorder="false" applyFill="false" applyFont="true" applyNumberFormat="true" applyProtection="false" borderId="104" fillId="0" fontId="15" numFmtId="226" xfId="0">
      <alignment horizontal="right" vertical="center"/>
    </xf>
    <xf applyAlignment="true" applyBorder="false" applyFill="false" applyFont="true" applyNumberFormat="true" applyProtection="false" borderId="105" fillId="0" fontId="13" numFmtId="227" xfId="0">
      <alignment vertical="center"/>
    </xf>
    <xf applyAlignment="true" applyBorder="false" applyFill="false" applyFont="true" applyNumberFormat="true" applyProtection="false" borderId="106" fillId="0" fontId="14" numFmtId="228" xfId="0">
      <alignment vertical="center"/>
    </xf>
    <xf applyAlignment="true" applyBorder="false" applyFill="false" applyFont="true" applyNumberFormat="true" applyProtection="false" borderId="107" fillId="0" fontId="14" numFmtId="229" xfId="0">
      <alignment vertical="center"/>
    </xf>
    <xf applyAlignment="true" applyBorder="false" applyFill="true" applyFont="true" applyNumberFormat="false" applyProtection="false" borderId="108" fillId="35" fontId="14" numFmtId="0" xfId="0">
      <alignment horizontal="center" vertical="center" wrapText="true"/>
    </xf>
    <xf applyAlignment="true" applyBorder="false" applyFill="true" applyFont="true" applyNumberFormat="false" applyProtection="false" borderId="109" fillId="36" fontId="16" numFmtId="0" xfId="0">
      <alignment horizontal="center" vertical="center"/>
    </xf>
    <xf applyAlignment="true" applyBorder="false" applyFill="false" applyFont="true" applyNumberFormat="true" applyProtection="false" borderId="110" fillId="0" fontId="13" numFmtId="230" xfId="0">
      <alignment horizontal="right" vertical="center"/>
    </xf>
    <xf applyAlignment="true" applyBorder="false" applyFill="false" applyFont="true" applyNumberFormat="true" applyProtection="false" borderId="111" fillId="0" fontId="13" numFmtId="231" xfId="0">
      <alignment horizontal="right" vertical="center"/>
    </xf>
    <xf applyAlignment="true" applyBorder="false" applyFill="true" applyFont="true" applyNumberFormat="false" applyProtection="false" borderId="112" fillId="37" fontId="1" numFmtId="0" xfId="0">
      <alignment horizontal="center" vertical="center"/>
    </xf>
    <xf applyAlignment="true" applyBorder="false" applyFill="true" applyFont="true" applyNumberFormat="false" applyProtection="false" borderId="113" fillId="38" fontId="3" numFmtId="0" xfId="0">
      <alignment horizontal="center" vertical="center"/>
    </xf>
    <xf applyAlignment="true" applyBorder="false" applyFill="false" applyFont="true" applyNumberFormat="true" applyProtection="false" borderId="114" fillId="0" fontId="1" numFmtId="232" xfId="0">
      <alignment horizontal="center" vertical="center"/>
    </xf>
    <xf applyAlignment="true" applyBorder="false" applyFill="true" applyFont="true" applyNumberFormat="true" applyProtection="false" borderId="115" fillId="39" fontId="13" numFmtId="233" xfId="0">
      <alignment horizontal="center" vertical="center"/>
    </xf>
    <xf applyAlignment="true" applyBorder="false" applyFill="true" applyFont="true" applyNumberFormat="true" applyProtection="false" borderId="116" fillId="40" fontId="13" numFmtId="234" xfId="0">
      <alignment horizontal="center" vertical="center"/>
    </xf>
    <xf applyAlignment="true" applyBorder="false" applyFill="false" applyFont="true" applyNumberFormat="true" applyProtection="false" borderId="117" fillId="0" fontId="13" numFmtId="235" xfId="0">
      <alignment horizontal="center" vertical="center"/>
    </xf>
    <xf applyAlignment="true" applyBorder="false" applyFill="false" applyFont="true" applyNumberFormat="true" applyProtection="false" borderId="118" fillId="0" fontId="13" numFmtId="236" xfId="0">
      <alignment horizontal="center" vertical="center"/>
    </xf>
    <xf applyAlignment="true" applyBorder="false" applyFill="false" applyFont="true" applyNumberFormat="true" applyProtection="false" borderId="119" fillId="0" fontId="1" numFmtId="237" xfId="0">
      <alignment horizontal="center" vertical="center"/>
    </xf>
    <xf applyAlignment="true" applyBorder="false" applyFill="false" applyFont="true" applyNumberFormat="true" applyProtection="false" borderId="120" fillId="0" fontId="13" numFmtId="238" xfId="0">
      <alignment horizontal="center" vertical="center"/>
    </xf>
    <xf applyAlignment="true" applyBorder="false" applyFill="false" applyFont="true" applyNumberFormat="true" applyProtection="false" borderId="121" fillId="0" fontId="5" numFmtId="239" xfId="0">
      <alignment horizontal="right" vertical="center"/>
    </xf>
    <xf applyAlignment="true" applyBorder="false" applyFill="false" applyFont="true" applyNumberFormat="true" applyProtection="false" borderId="122" fillId="0" fontId="9" numFmtId="240" xfId="0">
      <alignment horizontal="right" vertical="center"/>
    </xf>
    <xf applyAlignment="true" applyBorder="false" applyFill="false" applyFont="true" applyNumberFormat="true" applyProtection="false" borderId="123" fillId="0" fontId="9" numFmtId="241" xfId="0">
      <alignment horizontal="right" vertical="center"/>
    </xf>
    <xf applyAlignment="true" applyBorder="false" applyFill="false" applyFont="true" applyNumberFormat="true" applyProtection="false" borderId="124" fillId="0" fontId="9" numFmtId="242" xfId="0">
      <alignment horizontal="right" vertical="center"/>
    </xf>
    <xf applyAlignment="true" applyBorder="false" applyFill="true" applyFont="true" applyNumberFormat="true" applyProtection="false" borderId="125" fillId="41" fontId="14" numFmtId="243" xfId="0">
      <alignment horizontal="center" vertical="center"/>
    </xf>
    <xf applyAlignment="true" applyBorder="false" applyFill="false" applyFont="true" applyNumberFormat="false" applyProtection="false" borderId="126" fillId="0" fontId="17" numFmtId="0" xfId="0">
      <alignment horizontal="center" vertical="center"/>
    </xf>
    <xf applyAlignment="true" applyBorder="false" applyFill="true" applyFont="true" applyNumberFormat="true" applyProtection="false" borderId="127" fillId="42" fontId="13" numFmtId="244" xfId="0">
      <alignment horizontal="center" vertical="center"/>
    </xf>
    <xf applyAlignment="true" applyBorder="false" applyFill="true" applyFont="true" applyNumberFormat="true" applyProtection="false" borderId="128" fillId="43" fontId="13" numFmtId="245" xfId="0">
      <alignment horizontal="center" vertical="center"/>
    </xf>
    <xf applyAlignment="true" applyBorder="false" applyFill="true" applyFont="true" applyNumberFormat="true" applyProtection="false" borderId="129" fillId="44" fontId="13" numFmtId="246" xfId="0">
      <alignment horizontal="center" vertical="center"/>
    </xf>
    <xf applyAlignment="true" applyBorder="false" applyFill="true" applyFont="true" applyNumberFormat="true" applyProtection="false" borderId="130" fillId="45" fontId="18" numFmtId="247" xfId="0">
      <alignment horizontal="right" vertical="center"/>
    </xf>
    <xf applyAlignment="true" applyBorder="false" applyFill="true" applyFont="true" applyNumberFormat="true" applyProtection="false" borderId="131" fillId="46" fontId="5" numFmtId="248" xfId="0">
      <alignment horizontal="right" vertical="center"/>
    </xf>
    <xf applyAlignment="true" applyBorder="false" applyFill="false" applyFont="true" applyNumberFormat="true" applyProtection="false" borderId="132" fillId="0" fontId="19" numFmtId="249" xfId="0">
      <alignment horizontal="right" vertical="center"/>
    </xf>
    <xf applyAlignment="true" applyBorder="false" applyFill="false" applyFont="true" applyNumberFormat="true" applyProtection="false" borderId="133" fillId="0" fontId="20" numFmtId="250" xfId="0">
      <alignment horizontal="center" vertical="center"/>
    </xf>
    <xf applyAlignment="true" applyBorder="false" applyFill="false" applyFont="true" applyNumberFormat="false" applyProtection="false" borderId="134" fillId="0" fontId="8" numFmtId="0" xfId="0">
      <alignment vertical="center"/>
    </xf>
    <xf applyAlignment="true" applyBorder="false" applyFill="false" applyFont="true" applyNumberFormat="false" applyProtection="false" borderId="135" fillId="0" fontId="14" numFmtId="0" xfId="0">
      <alignment horizontal="center" vertical="center"/>
    </xf>
    <xf applyAlignment="true" applyBorder="false" applyFill="true" applyFont="true" applyNumberFormat="true" applyProtection="false" borderId="136" fillId="47" fontId="8" numFmtId="251" xfId="0">
      <alignment horizontal="right" vertical="center"/>
    </xf>
    <xf applyAlignment="true" applyBorder="false" applyFill="true" applyFont="true" applyNumberFormat="true" applyProtection="false" borderId="137" fillId="48" fontId="5" numFmtId="252" xfId="0">
      <alignment horizontal="right" vertical="center"/>
    </xf>
    <xf applyAlignment="true" applyBorder="false" applyFill="true" applyFont="true" applyNumberFormat="true" applyProtection="false" borderId="138" fillId="49" fontId="18" numFmtId="253" xfId="0">
      <alignment horizontal="center" vertical="center"/>
    </xf>
    <xf applyAlignment="true" applyBorder="false" applyFill="true" applyFont="true" applyNumberFormat="true" applyProtection="false" borderId="139" fillId="50" fontId="1" numFmtId="254" xfId="0">
      <alignment vertical="center"/>
    </xf>
    <xf applyAlignment="true" applyBorder="false" applyFill="false" applyFont="true" applyNumberFormat="true" applyProtection="false" borderId="140" fillId="0" fontId="3" numFmtId="255" xfId="0">
      <alignment horizontal="right" vertical="center"/>
    </xf>
    <xf applyAlignment="true" applyBorder="false" applyFill="false" applyFont="true" applyNumberFormat="true" applyProtection="false" borderId="141" fillId="0" fontId="3" numFmtId="256" xfId="0">
      <alignment vertical="center"/>
    </xf>
    <xf applyAlignment="true" applyBorder="false" applyFill="true" applyFont="true" applyNumberFormat="true" applyProtection="false" borderId="142" fillId="51" fontId="8" numFmtId="257" xfId="0">
      <alignment horizontal="right" vertical="center"/>
    </xf>
    <xf applyAlignment="true" applyBorder="false" applyFill="true" applyFont="true" applyNumberFormat="true" applyProtection="false" borderId="143" fillId="52" fontId="1" numFmtId="258" xfId="0">
      <alignment vertical="center"/>
    </xf>
    <xf applyAlignment="true" applyBorder="false" applyFill="true" applyFont="true" applyNumberFormat="true" applyProtection="false" borderId="144" fillId="53" fontId="5" numFmtId="259" xfId="0">
      <alignment horizontal="right" vertical="center"/>
    </xf>
    <xf applyAlignment="true" applyBorder="false" applyFill="true" applyFont="true" applyNumberFormat="true" applyProtection="false" borderId="145" fillId="54" fontId="18" numFmtId="260" xfId="0">
      <alignment horizontal="center" vertical="center"/>
    </xf>
    <xf applyAlignment="true" applyBorder="false" applyFill="false" applyFont="true" applyNumberFormat="false" applyProtection="false" borderId="146" fillId="0" fontId="8" numFmtId="0" xfId="0">
      <alignment horizontal="center" vertical="center"/>
    </xf>
    <xf applyAlignment="true" applyBorder="false" applyFill="true" applyFont="true" applyNumberFormat="true" applyProtection="false" borderId="147" fillId="55" fontId="12" numFmtId="261" xfId="0">
      <alignment vertical="center"/>
    </xf>
    <xf applyAlignment="true" applyBorder="false" applyFill="true" applyFont="true" applyNumberFormat="true" applyProtection="false" borderId="148" fillId="56" fontId="18" numFmtId="262" xfId="0">
      <alignment horizontal="left" vertical="center"/>
    </xf>
    <xf applyAlignment="true" applyBorder="false" applyFill="true" applyFont="true" applyNumberFormat="true" applyProtection="false" borderId="149" fillId="57" fontId="18" numFmtId="263" xfId="0">
      <alignment horizontal="left" vertical="center"/>
    </xf>
    <xf applyAlignment="true" applyBorder="false" applyFill="true" applyFont="true" applyNumberFormat="true" applyProtection="false" borderId="150" fillId="58" fontId="3" numFmtId="264" xfId="0">
      <alignment horizontal="right" vertical="center"/>
    </xf>
    <xf applyAlignment="true" applyBorder="false" applyFill="false" applyFont="true" applyNumberFormat="true" applyProtection="false" borderId="151" fillId="0" fontId="21" numFmtId="265" xfId="0">
      <alignment horizontal="left" vertical="center"/>
    </xf>
    <xf applyAlignment="true" applyBorder="false" applyFill="true" applyFont="true" applyNumberFormat="true" applyProtection="false" borderId="152" fillId="59" fontId="3" numFmtId="266" xfId="0">
      <alignment horizontal="right" vertical="center"/>
    </xf>
    <xf applyAlignment="true" applyBorder="false" applyFill="false" applyFont="true" applyNumberFormat="true" applyProtection="false" borderId="153" fillId="0" fontId="8" numFmtId="267" xfId="0">
      <alignment horizontal="right" vertical="center"/>
    </xf>
    <xf applyAlignment="true" applyBorder="false" applyFill="false" applyFont="true" applyNumberFormat="true" applyProtection="false" borderId="154" fillId="0" fontId="18" numFmtId="268" xfId="0">
      <alignment horizontal="left" vertical="center"/>
    </xf>
    <xf applyAlignment="true" applyBorder="false" applyFill="false" applyFont="true" applyNumberFormat="true" applyProtection="false" borderId="155" fillId="0" fontId="1" numFmtId="269" xfId="0">
      <alignment vertical="center"/>
    </xf>
    <xf applyAlignment="true" applyBorder="false" applyFill="false" applyFont="true" applyNumberFormat="false" applyProtection="false" borderId="156" fillId="0" fontId="12" numFmtId="0" xfId="0">
      <alignment horizontal="center" vertical="center"/>
    </xf>
    <xf applyAlignment="true" applyBorder="false" applyFill="false" applyFont="true" applyNumberFormat="true" applyProtection="false" borderId="157" fillId="0" fontId="1" numFmtId="270" xfId="0">
      <alignment vertical="center"/>
    </xf>
    <xf applyAlignment="true" applyBorder="false" applyFill="false" applyFont="true" applyNumberFormat="true" applyProtection="false" borderId="158" fillId="0" fontId="1" numFmtId="271" xfId="0">
      <alignment horizontal="center" vertical="center"/>
    </xf>
    <xf applyAlignment="true" applyBorder="false" applyFill="false" applyFont="true" applyNumberFormat="true" applyProtection="false" borderId="159" fillId="0" fontId="3" numFmtId="272" xfId="0">
      <alignment horizontal="right" vertical="center"/>
    </xf>
    <xf applyAlignment="true" applyBorder="false" applyFill="false" applyFont="true" applyNumberFormat="true" applyProtection="false" borderId="160" fillId="0" fontId="1" numFmtId="273" xfId="0">
      <alignment horizontal="center" vertical="center"/>
    </xf>
    <xf applyAlignment="true" applyBorder="false" applyFill="true" applyFont="true" applyNumberFormat="true" applyProtection="false" borderId="161" fillId="60" fontId="14" numFmtId="274" xfId="0">
      <alignment horizontal="center" vertical="center"/>
    </xf>
    <xf applyAlignment="true" applyBorder="false" applyFill="true" applyFont="true" applyNumberFormat="true" applyProtection="false" borderId="162" fillId="61" fontId="14" numFmtId="275" xfId="0">
      <alignment horizontal="center" vertical="center"/>
    </xf>
    <xf applyAlignment="true" applyBorder="false" applyFill="true" applyFont="true" applyNumberFormat="true" applyProtection="false" borderId="163" fillId="62" fontId="13" numFmtId="276" xfId="0">
      <alignment horizontal="center" vertical="center"/>
    </xf>
    <xf applyAlignment="true" applyBorder="false" applyFill="false" applyFont="true" applyNumberFormat="false" applyProtection="false" borderId="164" fillId="0" fontId="13" numFmtId="0" xfId="0">
      <alignment horizontal="left" vertical="center"/>
    </xf>
    <xf applyAlignment="true" applyBorder="false" applyFill="false" applyFont="true" applyNumberFormat="true" applyProtection="false" borderId="165" fillId="0" fontId="13" numFmtId="277" xfId="0">
      <alignment horizontal="center" vertical="center"/>
    </xf>
    <xf applyAlignment="false" applyBorder="false" applyFill="false" applyFont="false" applyNumberFormat="false" applyProtection="false" borderId="166" fillId="0" fontId="0" numFmtId="0" xfId="0">
      <alignment/>
    </xf>
    <xf applyAlignment="true" applyBorder="false" applyFill="false" applyFont="true" applyNumberFormat="true" applyProtection="false" borderId="167" fillId="0" fontId="5" numFmtId="278" xfId="0">
      <alignment horizontal="right" vertical="center"/>
    </xf>
    <xf applyAlignment="true" applyBorder="false" applyFill="false" applyFont="true" applyNumberFormat="true" applyProtection="false" borderId="168" fillId="0" fontId="18" numFmtId="279" xfId="0">
      <alignment horizontal="right" vertical="center"/>
    </xf>
    <xf applyAlignment="true" applyBorder="false" applyFill="false" applyFont="true" applyNumberFormat="true" applyProtection="false" borderId="169" fillId="0" fontId="1" numFmtId="280" xfId="0">
      <alignment horizontal="center" vertical="center"/>
    </xf>
    <xf applyAlignment="true" applyBorder="false" applyFill="true" applyFont="true" applyNumberFormat="true" applyProtection="false" borderId="170" fillId="63" fontId="13" numFmtId="281" xfId="0">
      <alignment horizontal="center" vertical="center"/>
    </xf>
    <xf applyAlignment="true" applyBorder="false" applyFill="false" applyFont="true" applyNumberFormat="true" applyProtection="false" borderId="171" fillId="0" fontId="13" numFmtId="282" xfId="0">
      <alignment horizontal="center" vertical="center"/>
    </xf>
    <xf applyAlignment="true" applyBorder="false" applyFill="true" applyFont="true" applyNumberFormat="true" applyProtection="false" borderId="172" fillId="64" fontId="13" numFmtId="283" xfId="0">
      <alignment horizontal="center" vertical="center"/>
    </xf>
    <xf applyAlignment="true" applyBorder="false" applyFill="true" applyFont="true" applyNumberFormat="true" applyProtection="false" borderId="173" fillId="65" fontId="13" numFmtId="284" xfId="0">
      <alignment horizontal="center" vertical="center"/>
    </xf>
    <xf applyAlignment="true" applyBorder="false" applyFill="true" applyFont="true" applyNumberFormat="false" applyProtection="false" borderId="174" fillId="66" fontId="22" numFmtId="0" xfId="0">
      <alignment horizontal="center" vertical="center"/>
    </xf>
    <xf applyAlignment="true" applyBorder="false" applyFill="false" applyFont="true" applyNumberFormat="true" applyProtection="false" borderId="175" fillId="0" fontId="14" numFmtId="285" xfId="0">
      <alignment horizontal="center" vertical="center"/>
    </xf>
    <xf applyAlignment="true" applyBorder="false" applyFill="true" applyFont="true" applyNumberFormat="true" applyProtection="false" borderId="176" fillId="67" fontId="13" numFmtId="286" xfId="0">
      <alignment horizontal="center" vertical="center"/>
    </xf>
    <xf applyAlignment="true" applyBorder="false" applyFill="true" applyFont="true" applyNumberFormat="true" applyProtection="false" borderId="177" fillId="68" fontId="13" numFmtId="287" xfId="0">
      <alignment horizontal="center" vertical="center"/>
    </xf>
    <xf applyAlignment="true" applyBorder="false" applyFill="false" applyFont="true" applyNumberFormat="true" applyProtection="false" borderId="178" fillId="0" fontId="23" numFmtId="288" xfId="0">
      <alignment horizontal="center" vertical="center"/>
    </xf>
    <xf applyAlignment="true" applyBorder="false" applyFill="false" applyFont="true" applyNumberFormat="false" applyProtection="false" borderId="179" fillId="0" fontId="23" numFmtId="0" xfId="0">
      <alignment horizontal="center" vertical="center"/>
    </xf>
    <xf applyAlignment="true" applyBorder="false" applyFill="false" applyFont="true" applyNumberFormat="true" applyProtection="false" borderId="180" fillId="0" fontId="23" numFmtId="289" xfId="0">
      <alignment horizontal="center" vertical="center"/>
    </xf>
    <xf applyAlignment="true" applyBorder="false" applyFill="false" applyFont="true" applyNumberFormat="false" applyProtection="false" borderId="181" fillId="0" fontId="24" numFmtId="0" xfId="0">
      <alignment horizontal="center" vertical="bottom"/>
    </xf>
    <xf applyAlignment="true" applyBorder="false" applyFill="false" applyFont="true" applyNumberFormat="true" applyProtection="false" borderId="182" fillId="0" fontId="14" numFmtId="290" xfId="0">
      <alignment horizontal="center" vertical="center"/>
    </xf>
    <xf applyAlignment="true" applyBorder="false" applyFill="true" applyFont="true" applyNumberFormat="true" applyProtection="false" borderId="183" fillId="69" fontId="13" numFmtId="291" xfId="0">
      <alignment vertical="center"/>
    </xf>
    <xf applyAlignment="true" applyBorder="false" applyFill="false" applyFont="true" applyNumberFormat="false" applyProtection="false" borderId="184" fillId="0" fontId="9" numFmtId="0" xfId="0">
      <alignment vertical="center"/>
    </xf>
    <xf applyAlignment="true" applyBorder="false" applyFill="false" applyFont="true" applyNumberFormat="true" applyProtection="false" borderId="185" fillId="0" fontId="1" numFmtId="292" xfId="0">
      <alignment horizontal="center" vertical="center"/>
    </xf>
    <xf applyAlignment="true" applyBorder="false" applyFill="true" applyFont="true" applyNumberFormat="true" applyProtection="false" borderId="186" fillId="70" fontId="13" numFmtId="293" xfId="0">
      <alignment vertical="center"/>
    </xf>
    <xf applyAlignment="true" applyBorder="false" applyFill="false" applyFont="true" applyNumberFormat="true" applyProtection="false" borderId="187" fillId="0" fontId="1" numFmtId="294" xfId="0">
      <alignment vertical="center"/>
    </xf>
    <xf applyAlignment="true" applyBorder="false" applyFill="false" applyFont="true" applyNumberFormat="false" applyProtection="false" borderId="188" fillId="0" fontId="1" numFmtId="0" xfId="0">
      <alignment horizontal="center" vertical="center" wrapText="true"/>
    </xf>
    <xf applyAlignment="true" applyBorder="false" applyFill="false" applyFont="true" applyNumberFormat="false" applyProtection="false" borderId="189" fillId="0" fontId="9" numFmtId="0" xfId="0">
      <alignment vertical="center" wrapText="true"/>
    </xf>
    <xf applyAlignment="true" applyBorder="false" applyFill="false" applyFont="true" applyNumberFormat="false" applyProtection="false" borderId="190" fillId="0" fontId="10" numFmtId="0" xfId="0">
      <alignment vertical="center"/>
    </xf>
    <xf applyAlignment="true" applyBorder="false" applyFill="true" applyFont="true" applyNumberFormat="true" applyProtection="false" borderId="191" fillId="71" fontId="9" numFmtId="295" xfId="0">
      <alignment vertical="center"/>
    </xf>
    <xf applyAlignment="true" applyBorder="false" applyFill="true" applyFont="true" applyNumberFormat="false" applyProtection="false" borderId="192" fillId="72" fontId="9" numFmtId="0" xfId="0">
      <alignment horizontal="center" vertical="center"/>
    </xf>
    <xf applyAlignment="true" applyBorder="false" applyFill="false" applyFont="true" applyNumberFormat="true" applyProtection="false" borderId="193" fillId="0" fontId="9" numFmtId="296" xfId="0">
      <alignment vertical="center"/>
    </xf>
    <xf applyAlignment="true" applyBorder="false" applyFill="false" applyFont="true" applyNumberFormat="true" applyProtection="false" borderId="194" fillId="0" fontId="9" numFmtId="297" xfId="0">
      <alignment vertical="center"/>
    </xf>
    <xf applyAlignment="true" applyBorder="false" applyFill="false" applyFont="true" applyNumberFormat="false" applyProtection="false" borderId="195" fillId="0" fontId="9" numFmtId="0" xfId="0">
      <alignment horizontal="center" vertical="center"/>
    </xf>
    <xf applyAlignment="true" applyBorder="false" applyFill="false" applyFont="true" applyNumberFormat="true" applyProtection="false" borderId="196" fillId="0" fontId="9" numFmtId="298" xfId="0">
      <alignment vertical="center"/>
    </xf>
    <xf applyAlignment="true" applyBorder="false" applyFill="false" applyFont="true" applyNumberFormat="true" applyProtection="false" borderId="197" fillId="0" fontId="3" numFmtId="299" xfId="0">
      <alignment horizontal="center" vertical="center"/>
    </xf>
    <xf applyAlignment="true" applyBorder="false" applyFill="true" applyFont="true" applyNumberFormat="true" applyProtection="false" borderId="198" fillId="73" fontId="9" numFmtId="300" xfId="0">
      <alignment vertical="center"/>
    </xf>
    <xf applyAlignment="true" applyBorder="false" applyFill="true" applyFont="true" applyNumberFormat="true" applyProtection="false" borderId="199" fillId="74" fontId="9" numFmtId="301" xfId="0">
      <alignment vertical="center"/>
    </xf>
    <xf applyAlignment="true" applyBorder="false" applyFill="true" applyFont="true" applyNumberFormat="true" applyProtection="false" borderId="200" fillId="75" fontId="18" numFmtId="302" xfId="0">
      <alignment vertical="center"/>
    </xf>
    <xf applyAlignment="true" applyBorder="false" applyFill="false" applyFont="true" applyNumberFormat="false" applyProtection="false" borderId="201" fillId="0" fontId="18" numFmtId="0" xfId="0">
      <alignment vertical="center"/>
    </xf>
    <xf applyAlignment="true" applyBorder="false" applyFill="true" applyFont="true" applyNumberFormat="true" applyProtection="false" borderId="202" fillId="76" fontId="18" numFmtId="303" xfId="0">
      <alignment horizontal="center" vertical="center"/>
    </xf>
    <xf applyAlignment="true" applyBorder="false" applyFill="true" applyFont="true" applyNumberFormat="true" applyProtection="false" borderId="203" fillId="77" fontId="9" numFmtId="304" xfId="0">
      <alignment vertical="center"/>
    </xf>
    <xf applyAlignment="true" applyBorder="false" applyFill="true" applyFont="true" applyNumberFormat="true" applyProtection="false" borderId="204" fillId="78" fontId="18" numFmtId="305" xfId="0">
      <alignment vertical="center"/>
    </xf>
    <xf applyAlignment="true" applyBorder="false" applyFill="true" applyFont="true" applyNumberFormat="true" applyProtection="false" borderId="205" fillId="79" fontId="18" numFmtId="306" xfId="0">
      <alignment vertical="center"/>
    </xf>
    <xf applyAlignment="true" applyBorder="false" applyFill="true" applyFont="true" applyNumberFormat="true" applyProtection="false" borderId="206" fillId="80" fontId="18" numFmtId="307" xfId="0">
      <alignment horizontal="center" vertical="center"/>
    </xf>
    <xf applyAlignment="true" applyBorder="false" applyFill="true" applyFont="true" applyNumberFormat="false" applyProtection="false" borderId="207" fillId="81" fontId="18" numFmtId="0" xfId="0">
      <alignment horizontal="center" vertical="center" wrapText="true"/>
    </xf>
    <xf applyAlignment="true" applyBorder="false" applyFill="false" applyFont="true" applyNumberFormat="false" applyProtection="false" borderId="208" fillId="0" fontId="5" numFmtId="0" xfId="0">
      <alignment horizontal="center" vertical="center"/>
    </xf>
    <xf applyAlignment="true" applyBorder="false" applyFill="true" applyFont="true" applyNumberFormat="true" applyProtection="false" borderId="209" fillId="82" fontId="9" numFmtId="308" xfId="0">
      <alignment vertical="center"/>
    </xf>
    <xf applyAlignment="true" applyBorder="false" applyFill="false" applyFont="true" applyNumberFormat="true" applyProtection="false" borderId="210" fillId="0" fontId="3" numFmtId="309" xfId="0">
      <alignment horizontal="center" vertical="center"/>
    </xf>
    <xf applyAlignment="true" applyBorder="false" applyFill="false" applyFont="true" applyNumberFormat="true" applyProtection="false" borderId="211" fillId="0" fontId="18" numFmtId="310" xfId="0">
      <alignment vertical="center"/>
    </xf>
    <xf applyAlignment="true" applyBorder="false" applyFill="false" applyFont="true" applyNumberFormat="false" applyProtection="false" borderId="212" fillId="0" fontId="18" numFmtId="0" xfId="0">
      <alignment horizontal="center" vertical="center"/>
    </xf>
    <xf applyAlignment="true" applyBorder="false" applyFill="true" applyFont="true" applyNumberFormat="true" applyProtection="false" borderId="213" fillId="83" fontId="18" numFmtId="311" xfId="0">
      <alignment vertical="center"/>
    </xf>
    <xf applyAlignment="true" applyBorder="false" applyFill="false" applyFont="true" applyNumberFormat="true" applyProtection="false" borderId="214" fillId="0" fontId="18" numFmtId="312" xfId="0">
      <alignment vertical="center"/>
    </xf>
    <xf applyAlignment="true" applyBorder="false" applyFill="true" applyFont="true" applyNumberFormat="true" applyProtection="false" borderId="215" fillId="84" fontId="9" numFmtId="313" xfId="0">
      <alignment vertical="center"/>
    </xf>
    <xf applyAlignment="true" applyBorder="false" applyFill="true" applyFont="true" applyNumberFormat="true" applyProtection="false" borderId="216" fillId="85" fontId="9" numFmtId="314" xfId="0">
      <alignment vertical="center"/>
    </xf>
    <xf applyAlignment="true" applyBorder="false" applyFill="true" applyFont="true" applyNumberFormat="false" applyProtection="false" borderId="217" fillId="86" fontId="9" numFmtId="0" xfId="0">
      <alignment horizontal="center" vertical="center"/>
    </xf>
    <xf applyAlignment="true" applyBorder="false" applyFill="false" applyFont="true" applyNumberFormat="true" applyProtection="false" borderId="218" fillId="0" fontId="9" numFmtId="315" xfId="0">
      <alignment vertical="center"/>
    </xf>
    <xf applyAlignment="true" applyBorder="false" applyFill="false" applyFont="true" applyNumberFormat="true" applyProtection="false" borderId="219" fillId="0" fontId="9" numFmtId="316" xfId="0">
      <alignment horizontal="right" vertical="center"/>
    </xf>
    <xf applyAlignment="true" applyBorder="false" applyFill="false" applyFont="true" applyNumberFormat="true" applyProtection="false" borderId="220" fillId="0" fontId="9" numFmtId="317" xfId="0">
      <alignment horizontal="right" vertical="center"/>
    </xf>
    <xf applyAlignment="true" applyBorder="false" applyFill="false" applyFont="true" applyNumberFormat="true" applyProtection="false" borderId="221" fillId="0" fontId="13" numFmtId="318" xfId="0">
      <alignment horizontal="right" vertical="center"/>
    </xf>
    <xf applyAlignment="true" applyBorder="false" applyFill="false" applyFont="true" applyNumberFormat="false" applyProtection="false" borderId="222" fillId="0" fontId="9" numFmtId="0" xfId="0">
      <alignment horizontal="center" vertical="center" wrapText="true"/>
    </xf>
    <xf applyAlignment="true" applyBorder="false" applyFill="true" applyFont="true" applyNumberFormat="true" applyProtection="false" borderId="223" fillId="87" fontId="13" numFmtId="319" xfId="0">
      <alignment horizontal="center" vertical="center"/>
    </xf>
    <xf applyAlignment="true" applyBorder="false" applyFill="false" applyFont="true" applyNumberFormat="true" applyProtection="false" borderId="224" fillId="0" fontId="3" numFmtId="320" xfId="0">
      <alignment horizontal="center" vertical="center"/>
    </xf>
    <xf applyAlignment="true" applyBorder="false" applyFill="false" applyFont="true" applyNumberFormat="false" applyProtection="false" borderId="225" fillId="0" fontId="22" numFmtId="0" xfId="0">
      <alignment horizontal="center" vertical="center"/>
    </xf>
    <xf applyAlignment="true" applyBorder="false" applyFill="true" applyFont="true" applyNumberFormat="true" applyProtection="false" borderId="226" fillId="88" fontId="14" numFmtId="321" xfId="0">
      <alignment horizontal="center" vertical="center"/>
    </xf>
    <xf applyAlignment="true" applyBorder="false" applyFill="true" applyFont="true" applyNumberFormat="true" applyProtection="false" borderId="227" fillId="89" fontId="22" numFmtId="322" xfId="0">
      <alignment horizontal="center" vertical="center"/>
    </xf>
    <xf applyAlignment="true" applyBorder="false" applyFill="false" applyFont="true" applyNumberFormat="true" applyProtection="false" borderId="228" fillId="0" fontId="13" numFmtId="323" xfId="0">
      <alignment vertical="center"/>
    </xf>
    <xf applyAlignment="true" applyBorder="false" applyFill="true" applyFont="true" applyNumberFormat="true" applyProtection="false" borderId="229" fillId="90" fontId="13" numFmtId="324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Relationship Id="rId7" Target="worksheets/sheet4.xml" Type="http://schemas.openxmlformats.org/officeDocument/2006/relationships/worksheet"></Relationship><Relationship Id="rId8" Target="worksheets/sheet5.xml" Type="http://schemas.openxmlformats.org/officeDocument/2006/relationships/worksheet"></Relationship><Relationship Id="rId9" Target="worksheets/sheet6.xml" Type="http://schemas.openxmlformats.org/officeDocument/2006/relationships/worksheet"></Relationship><Relationship Id="rId10" Target="worksheets/sheet7.xml" Type="http://schemas.openxmlformats.org/officeDocument/2006/relationships/worksheet"></Relationship><Relationship Id="rId11" Target="worksheets/sheet8.xml" Type="http://schemas.openxmlformats.org/officeDocument/2006/relationships/worksheet"></Relationship><Relationship Id="rId12" Target="worksheets/sheet9.xml" Type="http://schemas.openxmlformats.org/officeDocument/2006/relationships/worksheet"></Relationship><Relationship Id="rId13" Target="worksheets/sheet10.xml" Type="http://schemas.openxmlformats.org/officeDocument/2006/relationships/worksheet"></Relationship><Relationship Id="rId14" Target="worksheets/sheet11.xml" Type="http://schemas.openxmlformats.org/officeDocument/2006/relationships/worksheet"></Relationship><Relationship Id="rId15" Target="worksheets/sheet12.xml" Type="http://schemas.openxmlformats.org/officeDocument/2006/relationships/worksheet"></Relationship><Relationship Id="rId16" Target="worksheets/sheet13.xml" Type="http://schemas.openxmlformats.org/officeDocument/2006/relationships/worksheet"></Relationship><Relationship Id="rId17" Target="worksheets/sheet14.xml" Type="http://schemas.openxmlformats.org/officeDocument/2006/relationships/worksheet"></Relationship><Relationship Id="rId18" Target="worksheets/sheet15.xml" Type="http://schemas.openxmlformats.org/officeDocument/2006/relationships/worksheet"></Relationship><Relationship Id="rId19" Target="worksheets/sheet16.xml" Type="http://schemas.openxmlformats.org/officeDocument/2006/relationships/worksheet"></Relationship><Relationship Id="rId20" Target="worksheets/sheet17.xml" Type="http://schemas.openxmlformats.org/officeDocument/2006/relationships/worksheet"></Relationship><Relationship Id="rId21" Target="worksheets/sheet18.xml" Type="http://schemas.openxmlformats.org/officeDocument/2006/relationships/worksheet"></Relationship><Relationship Id="rId22" Target="worksheets/sheet19.xml" Type="http://schemas.openxmlformats.org/officeDocument/2006/relationships/worksheet"></Relationship><Relationship Id="rId23" Target="worksheets/sheet20.xml" Type="http://schemas.openxmlformats.org/officeDocument/2006/relationships/worksheet"></Relationship><Relationship Id="rId24" Target="worksheets/sheet21.xml" Type="http://schemas.openxmlformats.org/officeDocument/2006/relationships/worksheet"></Relationship><Relationship Id="rId25" Target="worksheets/sheet22.xml" Type="http://schemas.openxmlformats.org/officeDocument/2006/relationships/worksheet"></Relationship><Relationship Id="rId26" Target="worksheets/sheet23.xml" Type="http://schemas.openxmlformats.org/officeDocument/2006/relationships/worksheet"></Relationship><Relationship Id="rId27" Target="worksheets/sheet24.xml" Type="http://schemas.openxmlformats.org/officeDocument/2006/relationships/worksheet"></Relationship><Relationship Id="rId28" Target="worksheets/sheet25.xml" Type="http://schemas.openxmlformats.org/officeDocument/2006/relationships/worksheet"></Relationship><Relationship Id="rId29" Target="worksheets/sheet26.xml" Type="http://schemas.openxmlformats.org/officeDocument/2006/relationships/worksheet"></Relationship><Relationship Id="rId30" Target="worksheets/sheet27.xml" Type="http://schemas.openxmlformats.org/officeDocument/2006/relationships/worksheet"></Relationship><Relationship Id="rId31" Target="worksheets/sheet28.xml" Type="http://schemas.openxmlformats.org/officeDocument/2006/relationships/worksheet"></Relationship><Relationship Id="rId32" Target="worksheets/sheet29.xml" Type="http://schemas.openxmlformats.org/officeDocument/2006/relationships/worksheet"></Relationship></Relationships>
</file>

<file path=xl/drawings/_rels/drawing1.xml.rels><?xml version="1.0" encoding="UTF-8" standalone="yes"?>
<Relationships xmlns="http://schemas.openxmlformats.org/package/2006/relationships"><Relationship Id="rId1" Target="../media/image2.jpeg" Type="http://schemas.openxmlformats.org/officeDocument/2006/relationships/image"></Relationship><Relationship Id="rId2" Target="../media/image3.jpeg" Type="http://schemas.openxmlformats.org/officeDocument/2006/relationships/image"></Relationship></Relationships>
</file>

<file path=xl/drawings/_rels/drawing2.xml.rels><?xml version="1.0" encoding="UTF-8" standalone="yes"?>
<Relationships xmlns="http://schemas.openxmlformats.org/package/2006/relationships"><Relationship Id="rId1" Target="../media/image4.jpeg" Type="http://schemas.openxmlformats.org/officeDocument/2006/relationships/image"></Relationship></Relationships>
</file>

<file path=xl/drawings/drawing1.xml><?xml version="1.0" encoding="utf-8"?>
<xdr:wsDr xmlns:a="http://schemas.openxmlformats.org/drawingml/2006/main" xmlns:xdr="http://schemas.openxmlformats.org/drawingml/2006/spreadsheetDrawing">
  <xdr:twoCellAnchor>
    <xdr:from>
      <xdr:col>15</xdr:col>
      <xdr:colOff>409575</xdr:colOff>
      <xdr:row>66</xdr:row>
      <xdr:rowOff>180975</xdr:rowOff>
    </xdr:from>
    <xdr:to>
      <xdr:col>18</xdr:col>
      <xdr:colOff>714375</xdr:colOff>
      <xdr:row>75</xdr:row>
      <xdr:rowOff>257175</xdr:rowOff>
    </xdr:to>
    <xdr:pic>
      <xdr:nvPicPr>
        <xdr:cNvPr id="2" name="Picture 2" descr="AYgJQX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15</xdr:col>
      <xdr:colOff>609600</xdr:colOff>
      <xdr:row>75</xdr:row>
      <xdr:rowOff>152400</xdr:rowOff>
    </xdr:from>
    <xdr:to>
      <xdr:col>20</xdr:col>
      <xdr:colOff>733425</xdr:colOff>
      <xdr:row>86</xdr:row>
      <xdr:rowOff>19050</xdr:rowOff>
    </xdr:to>
    <xdr:pic>
      <xdr:nvPicPr>
        <xdr:cNvPr id="3" name="Picture 3" descr="FOyCTB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drawings/drawing2.xml><?xml version="1.0" encoding="utf-8"?>
<xdr:wsDr xmlns:a="http://schemas.openxmlformats.org/drawingml/2006/main" xmlns:xdr="http://schemas.openxmlformats.org/drawingml/2006/spreadsheetDrawing">
  <xdr:twoCellAnchor>
    <xdr:from>
      <xdr:col>6</xdr:col>
      <xdr:colOff>38100</xdr:colOff>
      <xdr:row>4</xdr:row>
      <xdr:rowOff>38100</xdr:rowOff>
    </xdr:from>
    <xdr:to>
      <xdr:col>7</xdr:col>
      <xdr:colOff>-38100</xdr:colOff>
      <xdr:row>5</xdr:row>
      <xdr:rowOff>-38100</xdr:rowOff>
    </xdr:to>
    <xdr:pic>
      <xdr:nvPicPr>
        <xdr:cNvPr id="2" name="Picture 2" descr="MJPiUF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3.xml.rels><?xml version="1.0" encoding="UTF-8" standalone="yes"?>
<Relationships xmlns="http://schemas.openxmlformats.org/package/2006/relationships"><Relationship Id="rId1" Target="../drawings/drawing1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_rels/sheet4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5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6.xml.rels><?xml version="1.0" encoding="UTF-8" standalone="yes"?>
<Relationships xmlns="http://schemas.openxmlformats.org/package/2006/relationships"><Relationship Id="rId1" Target="../drawings/vmlDrawing1.vml" Type="http://schemas.openxmlformats.org/officeDocument/2006/relationships/vmlDrawing"></Relationship><Relationship Id="rId2" Target="../comments1.xml" Type="http://schemas.openxmlformats.org/officeDocument/2006/relationships/comments"></Relationship><Relationship Id="rId3" Target="../media/image1.png" Type="http://schemas.openxmlformats.org/officeDocument/2006/relationships/image"></Relationship></Relationships>
</file>

<file path=xl/worksheets/_rels/sheet7.xml.rels><?xml version="1.0" encoding="UTF-8" standalone="yes"?>
<Relationships xmlns="http://schemas.openxmlformats.org/package/2006/relationships"><Relationship Id="rId1" Target="../drawings/vmlDrawing2.vml" Type="http://schemas.openxmlformats.org/officeDocument/2006/relationships/vmlDrawing"></Relationship><Relationship Id="rId2" Target="../comments2.xml" Type="http://schemas.openxmlformats.org/officeDocument/2006/relationships/comments"></Relationship><Relationship Id="rId3" Target="../media/image1.png" Type="http://schemas.openxmlformats.org/officeDocument/2006/relationships/image"></Relationship></Relationships>
</file>

<file path=xl/worksheets/_rels/sheet8.xml.rels><?xml version="1.0" encoding="UTF-8" standalone="yes"?>
<Relationships xmlns="http://schemas.openxmlformats.org/package/2006/relationships"><Relationship Id="rId1" Target="../drawings/vmlDrawing3.vml" Type="http://schemas.openxmlformats.org/officeDocument/2006/relationships/vmlDrawing"></Relationship><Relationship Id="rId2" Target="../comments3.xml" Type="http://schemas.openxmlformats.org/officeDocument/2006/relationships/comments"></Relationship><Relationship Id="rId3" Target="../media/image1.png" Type="http://schemas.openxmlformats.org/officeDocument/2006/relationships/image"></Relationship></Relationships>
</file>

<file path=xl/worksheets/_rels/sheet9.xml.rels><?xml version="1.0" encoding="UTF-8" standalone="yes"?>
<Relationships xmlns="http://schemas.openxmlformats.org/package/2006/relationships"><Relationship Id="rId1" Target="../drawings/drawing2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_rels/sheet10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11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1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13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14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15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16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17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18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19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20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21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2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23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24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25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26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27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28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29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ColWidth="14" defaultRowHeight="19"/>
  <cols>
    <col collapsed="false" customWidth="true" hidden="false" max="2" min="2" style="0" width="23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8" min="18" style="0" width="14"/>
    <col collapsed="false" customWidth="true" hidden="true" max="18" min="18" style="0" width="14"/>
    <col collapsed="false" customWidth="true" hidden="false" max="19" min="19" style="0" width="14"/>
    <col collapsed="false" customWidth="true" hidden="true" max="19" min="19" style="0" width="14"/>
    <col collapsed="false" customWidth="true" hidden="false" max="20" min="20" style="0" width="14"/>
    <col collapsed="false" customWidth="true" hidden="false" max="21" min="21" style="0" width="14"/>
  </cols>
  <sheetData>
    <row customHeight="true" hidden="true" ht="19" r="1">
      <c r="A1" s="14" t="str">
        <v>GTM 销量预测版-PNL原版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22"/>
      <c r="S1" s="22"/>
      <c r="T1" s="22"/>
      <c r="U1" s="22"/>
    </row>
    <row customHeight="true" hidden="true" ht="19" r="2">
      <c r="A2" s="36" t="str">
        <v>货量/支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9"/>
      <c r="Q2" s="9"/>
      <c r="R2" s="22"/>
      <c r="S2" s="22"/>
      <c r="T2" s="22"/>
      <c r="U2" s="22"/>
    </row>
    <row customHeight="true" hidden="true" ht="19" r="3">
      <c r="A3" s="2" t="str">
        <v>系列</v>
      </c>
      <c r="B3" s="2" t="str">
        <v>SPU</v>
      </c>
      <c r="C3" s="2" t="str">
        <v>单价</v>
      </c>
      <c r="D3" s="2" t="str">
        <v>1月</v>
      </c>
      <c r="E3" s="2" t="str">
        <v>2月</v>
      </c>
      <c r="F3" s="2" t="str">
        <v>3月</v>
      </c>
      <c r="G3" s="2" t="str">
        <v>4月</v>
      </c>
      <c r="H3" s="2" t="str">
        <v>5月</v>
      </c>
      <c r="I3" s="2" t="str">
        <v>6月</v>
      </c>
      <c r="J3" s="2" t="str">
        <v>7月</v>
      </c>
      <c r="K3" s="2" t="str">
        <v>8月</v>
      </c>
      <c r="L3" s="2" t="str">
        <v>9月</v>
      </c>
      <c r="M3" s="2" t="str">
        <v>10月</v>
      </c>
      <c r="N3" s="2" t="str">
        <v>11月</v>
      </c>
      <c r="O3" s="2" t="str">
        <v>12月</v>
      </c>
      <c r="P3" s="3" t="str">
        <v>26年合计</v>
      </c>
      <c r="Q3" s="4" t="str">
        <v>26年销量占比</v>
      </c>
      <c r="R3" s="22"/>
      <c r="S3" s="22"/>
      <c r="T3" s="22"/>
      <c r="U3" s="22"/>
    </row>
    <row customHeight="true" hidden="true" ht="19" r="4">
      <c r="A4" s="8" t="str">
        <v>tb92</v>
      </c>
      <c r="B4" s="8" t="str">
        <v>ABS</v>
      </c>
      <c r="C4" s="10">
        <v>399</v>
      </c>
      <c r="D4" s="5">
        <v>30000</v>
      </c>
      <c r="E4" s="5">
        <v>27000</v>
      </c>
      <c r="F4" s="5">
        <v>30000</v>
      </c>
      <c r="G4" s="5">
        <v>25000</v>
      </c>
      <c r="H4" s="5">
        <v>40000</v>
      </c>
      <c r="I4" s="5">
        <v>35000</v>
      </c>
      <c r="J4" s="5">
        <v>30000</v>
      </c>
      <c r="K4" s="5">
        <v>40000</v>
      </c>
      <c r="L4" s="5">
        <v>30000</v>
      </c>
      <c r="M4" s="5">
        <v>45000</v>
      </c>
      <c r="N4" s="5">
        <v>35000</v>
      </c>
      <c r="O4" s="30">
        <v>25000</v>
      </c>
      <c r="P4" s="6">
        <f>SUM(D4:O4)</f>
      </c>
      <c r="Q4" s="9">
        <f>P4/SUM($P$4:$P$12)</f>
      </c>
      <c r="R4" s="46">
        <f>P4/365</f>
      </c>
      <c r="S4" s="22"/>
      <c r="T4" s="22"/>
      <c r="U4" s="22"/>
    </row>
    <row customHeight="true" hidden="true" ht="19" r="5">
      <c r="A5" s="8" t="str">
        <v>tb92</v>
      </c>
      <c r="B5" s="8" t="str">
        <v>透明</v>
      </c>
      <c r="C5" s="10">
        <v>459</v>
      </c>
      <c r="D5" s="5">
        <v>20000</v>
      </c>
      <c r="E5" s="5">
        <v>10000</v>
      </c>
      <c r="F5" s="5">
        <v>15000</v>
      </c>
      <c r="G5" s="5">
        <v>10000</v>
      </c>
      <c r="H5" s="5">
        <v>20000</v>
      </c>
      <c r="I5" s="5">
        <v>18000</v>
      </c>
      <c r="J5" s="5">
        <v>10000</v>
      </c>
      <c r="K5" s="5">
        <v>10000</v>
      </c>
      <c r="L5" s="5">
        <v>10000</v>
      </c>
      <c r="M5" s="5">
        <v>20000</v>
      </c>
      <c r="N5" s="5">
        <v>15000</v>
      </c>
      <c r="O5" s="5">
        <v>15000</v>
      </c>
      <c r="P5" s="6">
        <f>SUM(D5:O5)</f>
      </c>
      <c r="Q5" s="9">
        <f>P5/SUM($P$4:$P$12)</f>
      </c>
      <c r="R5" s="46">
        <f>P5/365</f>
      </c>
      <c r="S5" s="22"/>
      <c r="T5" s="22"/>
      <c r="U5" s="22"/>
    </row>
    <row customHeight="true" hidden="true" ht="19" r="6">
      <c r="A6" s="8" t="str">
        <v>tb92</v>
      </c>
      <c r="B6" s="8" t="str">
        <v>铝合金</v>
      </c>
      <c r="C6" s="34">
        <v>499</v>
      </c>
      <c r="D6" s="30">
        <v>20000</v>
      </c>
      <c r="E6" s="30">
        <v>20000</v>
      </c>
      <c r="F6" s="30">
        <v>10000</v>
      </c>
      <c r="G6" s="30">
        <v>8000</v>
      </c>
      <c r="H6" s="30">
        <v>20000</v>
      </c>
      <c r="I6" s="30">
        <v>20000</v>
      </c>
      <c r="J6" s="30">
        <v>8000</v>
      </c>
      <c r="K6" s="30">
        <v>18000</v>
      </c>
      <c r="L6" s="30">
        <v>10000</v>
      </c>
      <c r="M6" s="30">
        <v>24000</v>
      </c>
      <c r="N6" s="30">
        <v>15000</v>
      </c>
      <c r="O6" s="30">
        <v>15000</v>
      </c>
      <c r="P6" s="6">
        <f>SUM(D6:O6)</f>
      </c>
      <c r="Q6" s="9">
        <f>P6/SUM($P$4:$P$12)</f>
      </c>
      <c r="R6" s="46">
        <f>P6/365</f>
      </c>
      <c r="S6" s="22"/>
      <c r="T6" s="22"/>
      <c r="U6" s="22"/>
    </row>
    <row customHeight="true" hidden="true" ht="19" r="7">
      <c r="A7" s="8" t="str">
        <v>tb92</v>
      </c>
      <c r="B7" s="8" t="str">
        <v>不锈钢</v>
      </c>
      <c r="C7" s="10">
        <v>599</v>
      </c>
      <c r="D7" s="5">
        <v>0</v>
      </c>
      <c r="E7" s="5">
        <v>0</v>
      </c>
      <c r="F7" s="5">
        <v>500</v>
      </c>
      <c r="G7" s="5">
        <v>500</v>
      </c>
      <c r="H7" s="5">
        <v>1000</v>
      </c>
      <c r="I7" s="5">
        <v>700.0000000000001</v>
      </c>
      <c r="J7" s="5">
        <v>800</v>
      </c>
      <c r="K7" s="5">
        <v>800</v>
      </c>
      <c r="L7" s="5">
        <v>800</v>
      </c>
      <c r="M7" s="5">
        <v>1200</v>
      </c>
      <c r="N7" s="5">
        <v>1200</v>
      </c>
      <c r="O7" s="5">
        <v>2000</v>
      </c>
      <c r="P7" s="6">
        <f>SUM(D7:O7)</f>
      </c>
      <c r="Q7" s="9">
        <f>P7/SUM($P$4:$P$12)</f>
      </c>
      <c r="R7" s="22"/>
      <c r="S7" s="22"/>
      <c r="T7" s="22"/>
      <c r="U7" s="22"/>
    </row>
    <row customHeight="true" hidden="true" ht="19" r="8">
      <c r="A8" s="8" t="str">
        <v>tb92</v>
      </c>
      <c r="B8" s="8" t="str">
        <v>铝合金新年礼盒</v>
      </c>
      <c r="C8" s="10">
        <v>529</v>
      </c>
      <c r="D8" s="30">
        <v>5000</v>
      </c>
      <c r="E8" s="30">
        <v>3000</v>
      </c>
      <c r="F8" s="30">
        <v>0</v>
      </c>
      <c r="G8" s="30">
        <v>0</v>
      </c>
      <c r="H8" s="30">
        <v>0</v>
      </c>
      <c r="I8" s="30">
        <v>0</v>
      </c>
      <c r="J8" s="30">
        <v>0</v>
      </c>
      <c r="K8" s="30">
        <v>0</v>
      </c>
      <c r="L8" s="30">
        <v>0</v>
      </c>
      <c r="M8" s="30">
        <v>0</v>
      </c>
      <c r="N8" s="30">
        <v>0</v>
      </c>
      <c r="O8" s="30">
        <v>0</v>
      </c>
      <c r="P8" s="6">
        <f>SUM(D8:O8)</f>
      </c>
      <c r="Q8" s="9">
        <f>P8/SUM($P$4:$P$12)</f>
      </c>
      <c r="R8" s="22"/>
      <c r="S8" s="22"/>
      <c r="T8" s="22"/>
      <c r="U8" s="22"/>
    </row>
    <row customHeight="true" hidden="true" ht="19" r="9">
      <c r="A9" s="8" t="str">
        <v>tb92</v>
      </c>
      <c r="B9" s="8" t="str">
        <v>钛合金</v>
      </c>
      <c r="C9" s="10">
        <v>799</v>
      </c>
      <c r="D9" s="30">
        <v>0</v>
      </c>
      <c r="E9" s="30">
        <v>0</v>
      </c>
      <c r="F9" s="30">
        <v>300</v>
      </c>
      <c r="G9" s="30">
        <v>300</v>
      </c>
      <c r="H9" s="30">
        <v>500</v>
      </c>
      <c r="I9" s="30">
        <v>500</v>
      </c>
      <c r="J9" s="30">
        <v>500</v>
      </c>
      <c r="K9" s="30">
        <v>500</v>
      </c>
      <c r="L9" s="30">
        <v>500</v>
      </c>
      <c r="M9" s="30">
        <v>1200</v>
      </c>
      <c r="N9" s="30">
        <v>1200</v>
      </c>
      <c r="O9" s="30">
        <v>2000</v>
      </c>
      <c r="P9" s="6">
        <f>SUM(D9:O9)</f>
      </c>
      <c r="Q9" s="9">
        <f>P9/SUM($P$4:$P$12)</f>
      </c>
      <c r="R9" s="22"/>
      <c r="S9" s="22"/>
      <c r="T9" s="22"/>
      <c r="U9" s="22"/>
    </row>
    <row customHeight="true" hidden="true" ht="19" r="10">
      <c r="A10" s="8" t="str">
        <v>TB31</v>
      </c>
      <c r="B10" s="8" t="str">
        <v>SE牙刷</v>
      </c>
      <c r="C10" s="10">
        <v>259</v>
      </c>
      <c r="D10" s="5">
        <v>20000</v>
      </c>
      <c r="E10" s="5">
        <v>20000</v>
      </c>
      <c r="F10" s="5">
        <v>30000</v>
      </c>
      <c r="G10" s="5">
        <v>30000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6">
        <f>SUM(D10:O10)</f>
      </c>
      <c r="Q10" s="9">
        <f>P10/SUM($P$4:$P$12)</f>
      </c>
      <c r="R10" s="22"/>
      <c r="S10" s="22"/>
      <c r="T10" s="22"/>
      <c r="U10" s="22"/>
    </row>
    <row customHeight="true" hidden="true" ht="19" r="11">
      <c r="A11" s="8" t="str">
        <v>TB32</v>
      </c>
      <c r="B11" s="8" t="str">
        <v>SE02牙刷</v>
      </c>
      <c r="C11" s="34">
        <v>299</v>
      </c>
      <c r="D11" s="30">
        <v>0</v>
      </c>
      <c r="E11" s="30">
        <v>0</v>
      </c>
      <c r="F11" s="30">
        <v>0</v>
      </c>
      <c r="G11" s="30">
        <v>0</v>
      </c>
      <c r="H11" s="30">
        <v>53000</v>
      </c>
      <c r="I11" s="30">
        <v>40000</v>
      </c>
      <c r="J11" s="30">
        <v>25000</v>
      </c>
      <c r="K11" s="30">
        <v>30000</v>
      </c>
      <c r="L11" s="30">
        <v>30000</v>
      </c>
      <c r="M11" s="30">
        <v>50000</v>
      </c>
      <c r="N11" s="30">
        <v>40000</v>
      </c>
      <c r="O11" s="30">
        <v>30000</v>
      </c>
      <c r="P11" s="6">
        <f>SUM(D11:O11)</f>
      </c>
      <c r="Q11" s="9">
        <f>P11/SUM($P$4:$P$12)</f>
      </c>
      <c r="R11" s="22"/>
      <c r="S11" s="22"/>
      <c r="T11" s="22"/>
      <c r="U11" s="22"/>
    </row>
    <row customHeight="true" hidden="true" ht="19" r="12">
      <c r="A12" s="8" t="str">
        <v>TC51</v>
      </c>
      <c r="B12" s="8" t="str">
        <v>儿童电动牙刷</v>
      </c>
      <c r="C12" s="10">
        <v>399</v>
      </c>
      <c r="D12" s="5">
        <v>0</v>
      </c>
      <c r="E12" s="5">
        <v>0</v>
      </c>
      <c r="F12" s="5">
        <v>0</v>
      </c>
      <c r="G12" s="5">
        <v>0</v>
      </c>
      <c r="H12" s="5">
        <v>15000</v>
      </c>
      <c r="I12" s="5">
        <v>12000</v>
      </c>
      <c r="J12" s="5">
        <v>10000</v>
      </c>
      <c r="K12" s="5">
        <v>15000</v>
      </c>
      <c r="L12" s="5">
        <v>12000</v>
      </c>
      <c r="M12" s="5">
        <v>15000</v>
      </c>
      <c r="N12" s="5">
        <v>12000</v>
      </c>
      <c r="O12" s="5">
        <v>12000</v>
      </c>
      <c r="P12" s="6">
        <f>SUM(D12:O12)</f>
      </c>
      <c r="Q12" s="9">
        <f>P12/SUM($P$4:$P$12)</f>
      </c>
      <c r="R12" s="22"/>
      <c r="S12" s="22"/>
      <c r="T12" s="22"/>
      <c r="U12" s="22"/>
    </row>
    <row customHeight="true" hidden="true" ht="19" r="13">
      <c r="A13" s="11"/>
      <c r="B13" s="11" t="str">
        <v>累计</v>
      </c>
      <c r="C13" s="11"/>
      <c r="D13" s="12">
        <f>SUM(D4:D12)</f>
      </c>
      <c r="E13" s="12">
        <f>SUM(E4:E12)</f>
      </c>
      <c r="F13" s="12">
        <f>SUM(F4:F12)</f>
      </c>
      <c r="G13" s="12">
        <f>SUM(G4:G12)</f>
      </c>
      <c r="H13" s="12">
        <f>SUM(H4:H12)</f>
      </c>
      <c r="I13" s="12">
        <f>SUM(I4:I12)</f>
      </c>
      <c r="J13" s="12">
        <f>SUM(J4:J12)</f>
      </c>
      <c r="K13" s="12">
        <f>SUM(K4:K12)</f>
      </c>
      <c r="L13" s="12">
        <f>SUM(L4:L12)</f>
      </c>
      <c r="M13" s="12">
        <f>SUM(M4:M12)</f>
      </c>
      <c r="N13" s="12">
        <f>SUM(N4:N12)</f>
      </c>
      <c r="O13" s="12">
        <f>SUM(O4:O12)</f>
      </c>
      <c r="P13" s="20">
        <f>SUM(P4:P12)</f>
      </c>
      <c r="Q13" s="21">
        <f>SUM(Q4:Q12)</f>
      </c>
      <c r="R13" s="22"/>
      <c r="S13" s="22"/>
      <c r="T13" s="22"/>
      <c r="U13" s="22"/>
    </row>
    <row customHeight="true" hidden="true" ht="19" r="14">
      <c r="A14" s="22"/>
      <c r="B14" s="22"/>
      <c r="C14" s="24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2"/>
      <c r="Q14" s="25"/>
      <c r="R14" s="22"/>
      <c r="S14" s="22"/>
      <c r="T14" s="22"/>
      <c r="U14" s="22"/>
    </row>
    <row customHeight="true" hidden="true" ht="19" r="15">
      <c r="A15" s="2" t="str">
        <v>系列汇总</v>
      </c>
      <c r="B15" s="2"/>
      <c r="C15" s="2"/>
      <c r="D15" s="27" t="str">
        <v>1月</v>
      </c>
      <c r="E15" s="27" t="str">
        <v>2月</v>
      </c>
      <c r="F15" s="27" t="str">
        <v>3月</v>
      </c>
      <c r="G15" s="27" t="str">
        <v>4月</v>
      </c>
      <c r="H15" s="27" t="str">
        <v>5月</v>
      </c>
      <c r="I15" s="27" t="str">
        <v>6月</v>
      </c>
      <c r="J15" s="27" t="str">
        <v>7月</v>
      </c>
      <c r="K15" s="27" t="str">
        <v>8月</v>
      </c>
      <c r="L15" s="27" t="str">
        <v>9月</v>
      </c>
      <c r="M15" s="27" t="str">
        <v>10月</v>
      </c>
      <c r="N15" s="27" t="str">
        <v>11月</v>
      </c>
      <c r="O15" s="27" t="str">
        <v>12月</v>
      </c>
      <c r="P15" s="28" t="str">
        <v>26年合计</v>
      </c>
      <c r="Q15" s="29" t="str">
        <v>26年销量占比</v>
      </c>
      <c r="R15" s="22"/>
      <c r="S15" s="22"/>
      <c r="T15" s="22"/>
      <c r="U15" s="22"/>
    </row>
    <row customHeight="true" hidden="true" ht="19" r="16">
      <c r="A16" s="8" t="str">
        <v>tb92</v>
      </c>
      <c r="B16" s="19"/>
      <c r="C16" s="19"/>
      <c r="D16" s="16">
        <f>SUM(D4:D9)</f>
      </c>
      <c r="E16" s="16">
        <f>SUM(E4:E9)</f>
      </c>
      <c r="F16" s="16">
        <f>SUM(F4:F9)</f>
      </c>
      <c r="G16" s="16">
        <f>SUM(G4:G9)</f>
      </c>
      <c r="H16" s="16">
        <f>SUM(H4:H9)</f>
      </c>
      <c r="I16" s="16">
        <f>SUM(I4:I9)</f>
      </c>
      <c r="J16" s="16">
        <f>SUM(J4:J9)</f>
      </c>
      <c r="K16" s="16">
        <f>SUM(K4:K9)</f>
      </c>
      <c r="L16" s="16">
        <f>SUM(L4:L9)</f>
      </c>
      <c r="M16" s="16">
        <f>SUM(M4:M9)</f>
      </c>
      <c r="N16" s="16">
        <f>SUM(N4:N9)</f>
      </c>
      <c r="O16" s="16">
        <f>SUM(O4:O9)</f>
      </c>
      <c r="P16" s="17">
        <f>SUM(D16:O16)</f>
      </c>
      <c r="Q16" s="18">
        <f>P16/$P$20</f>
      </c>
      <c r="R16" s="22"/>
      <c r="S16" s="22"/>
      <c r="T16" s="22"/>
      <c r="U16" s="22"/>
    </row>
    <row customHeight="true" hidden="true" ht="19" r="17">
      <c r="A17" s="8" t="str">
        <v>TB31</v>
      </c>
      <c r="B17" s="19"/>
      <c r="C17" s="19"/>
      <c r="D17" s="16">
        <f>SUM(D10)</f>
      </c>
      <c r="E17" s="16">
        <f>SUM(E10)</f>
      </c>
      <c r="F17" s="16">
        <f>SUM(F10)</f>
      </c>
      <c r="G17" s="16">
        <f>SUM(G10)</f>
      </c>
      <c r="H17" s="16">
        <f>SUM(H10)</f>
      </c>
      <c r="I17" s="16">
        <f>SUM(I10)</f>
      </c>
      <c r="J17" s="16">
        <f>SUM(J10)</f>
      </c>
      <c r="K17" s="16">
        <f>SUM(K10)</f>
      </c>
      <c r="L17" s="16">
        <f>SUM(L10)</f>
      </c>
      <c r="M17" s="16">
        <f>SUM(M10)</f>
      </c>
      <c r="N17" s="16">
        <f>SUM(N10)</f>
      </c>
      <c r="O17" s="16">
        <f>SUM(O10)</f>
      </c>
      <c r="P17" s="17">
        <f>SUM(D17:O17)</f>
      </c>
      <c r="Q17" s="18">
        <f>P17/$P$20</f>
      </c>
      <c r="R17" s="22"/>
      <c r="S17" s="22"/>
      <c r="T17" s="22"/>
      <c r="U17" s="22"/>
    </row>
    <row customHeight="true" hidden="true" ht="19" r="18">
      <c r="A18" s="8" t="str">
        <v>TB32</v>
      </c>
      <c r="B18" s="19"/>
      <c r="C18" s="19"/>
      <c r="D18" s="16">
        <f>SUM(D11)</f>
      </c>
      <c r="E18" s="16">
        <f>SUM(E11)</f>
      </c>
      <c r="F18" s="16">
        <f>SUM(F11)</f>
      </c>
      <c r="G18" s="16">
        <f>SUM(G11)</f>
      </c>
      <c r="H18" s="16">
        <f>SUM(H11)</f>
      </c>
      <c r="I18" s="16">
        <f>SUM(I11)</f>
      </c>
      <c r="J18" s="16">
        <f>SUM(J11)</f>
      </c>
      <c r="K18" s="16">
        <f>SUM(K11)</f>
      </c>
      <c r="L18" s="16">
        <f>SUM(L11)</f>
      </c>
      <c r="M18" s="16">
        <f>SUM(M11)</f>
      </c>
      <c r="N18" s="16">
        <f>SUM(N11)</f>
      </c>
      <c r="O18" s="16">
        <f>SUM(O11)</f>
      </c>
      <c r="P18" s="17">
        <f>SUM(D18:O18)</f>
      </c>
      <c r="Q18" s="18">
        <f>P18/$P$20</f>
      </c>
      <c r="R18" s="22"/>
      <c r="S18" s="22"/>
      <c r="T18" s="22"/>
      <c r="U18" s="22"/>
    </row>
    <row customHeight="true" hidden="true" ht="19" r="19">
      <c r="A19" s="8" t="str">
        <v>TC51</v>
      </c>
      <c r="B19" s="19"/>
      <c r="C19" s="19"/>
      <c r="D19" s="16">
        <f>SUM(D12)</f>
      </c>
      <c r="E19" s="16">
        <f>SUM(E12)</f>
      </c>
      <c r="F19" s="16">
        <f>SUM(F12)</f>
      </c>
      <c r="G19" s="16">
        <f>SUM(G12)</f>
      </c>
      <c r="H19" s="16">
        <f>SUM(H12)</f>
      </c>
      <c r="I19" s="16">
        <f>SUM(I12)</f>
      </c>
      <c r="J19" s="16">
        <f>SUM(J12)</f>
      </c>
      <c r="K19" s="16">
        <f>SUM(K12)</f>
      </c>
      <c r="L19" s="16">
        <f>SUM(L12)</f>
      </c>
      <c r="M19" s="16">
        <f>SUM(M12)</f>
      </c>
      <c r="N19" s="16">
        <f>SUM(N12)</f>
      </c>
      <c r="O19" s="16">
        <f>SUM(O12)</f>
      </c>
      <c r="P19" s="17">
        <f>SUM(D19:O19)</f>
      </c>
      <c r="Q19" s="18">
        <f>P19/$P$20</f>
      </c>
      <c r="R19" s="22"/>
      <c r="S19" s="22"/>
      <c r="T19" s="22"/>
      <c r="U19" s="22"/>
    </row>
    <row customHeight="true" hidden="true" ht="19" r="20">
      <c r="A20" s="11"/>
      <c r="B20" s="11" t="str">
        <v>累计</v>
      </c>
      <c r="C20" s="11"/>
      <c r="D20" s="12">
        <f>SUM(D16:D19)</f>
      </c>
      <c r="E20" s="12">
        <f>SUM(E16:E19)</f>
      </c>
      <c r="F20" s="12">
        <f>SUM(F16:F19)</f>
      </c>
      <c r="G20" s="12">
        <f>SUM(G16:G19)</f>
      </c>
      <c r="H20" s="12">
        <f>SUM(H16:H19)</f>
      </c>
      <c r="I20" s="12">
        <f>SUM(I16:I19)</f>
      </c>
      <c r="J20" s="12">
        <f>SUM(J16:J19)</f>
      </c>
      <c r="K20" s="12">
        <f>SUM(K16:K19)</f>
      </c>
      <c r="L20" s="12">
        <f>SUM(L16:L19)</f>
      </c>
      <c r="M20" s="12">
        <f>SUM(M16:M19)</f>
      </c>
      <c r="N20" s="12">
        <f>SUM(N16:N19)</f>
      </c>
      <c r="O20" s="12">
        <f>SUM(O16:O19)</f>
      </c>
      <c r="P20" s="11">
        <f>SUM(P16:P19)</f>
      </c>
      <c r="Q20" s="11">
        <f>SUM(Q16:Q19)</f>
      </c>
      <c r="R20" s="22"/>
      <c r="S20" s="22"/>
      <c r="T20" s="22"/>
      <c r="U20" s="22"/>
    </row>
    <row customHeight="true" hidden="true" ht="19" r="21"/>
    <row customHeight="true" hidden="true" ht="19" r="22">
      <c r="A22" s="14" t="str">
        <v>GTM 销量预测版-刷新12月22日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</row>
    <row customHeight="true" hidden="true" ht="19" r="23">
      <c r="A23" s="36" t="str">
        <v>货量/支</v>
      </c>
      <c r="B23" s="36"/>
      <c r="C23" s="36"/>
      <c r="D23" s="36"/>
      <c r="E23" s="36" t="str">
        <v>过年</v>
      </c>
      <c r="F23" s="36" t="str">
        <v>女王节</v>
      </c>
      <c r="G23" s="36"/>
      <c r="H23" s="36" t="str">
        <v>618大促</v>
      </c>
      <c r="I23" s="36" t="str">
        <v>618大促</v>
      </c>
      <c r="J23" s="36"/>
      <c r="K23" s="36"/>
      <c r="L23" s="36"/>
      <c r="M23" s="36" t="str">
        <v>双十一大促</v>
      </c>
      <c r="N23" s="36" t="str">
        <v>双十一大促</v>
      </c>
      <c r="O23" s="36"/>
      <c r="P23" s="39"/>
      <c r="Q23" s="9"/>
      <c r="R23" s="15"/>
      <c r="S23" s="15"/>
      <c r="T23" s="15"/>
      <c r="U23" s="15"/>
    </row>
    <row customHeight="true" hidden="true" ht="19" r="24">
      <c r="A24" s="2" t="str">
        <v>系列</v>
      </c>
      <c r="B24" s="2" t="str">
        <v>SPU</v>
      </c>
      <c r="C24" s="2" t="str">
        <v>单价</v>
      </c>
      <c r="D24" s="2" t="str">
        <v>1月</v>
      </c>
      <c r="E24" s="2" t="str">
        <v>2月</v>
      </c>
      <c r="F24" s="2" t="str">
        <v>3月</v>
      </c>
      <c r="G24" s="2" t="str">
        <v>4月</v>
      </c>
      <c r="H24" s="2" t="str">
        <v>5月</v>
      </c>
      <c r="I24" s="2" t="str">
        <v>6月</v>
      </c>
      <c r="J24" s="2" t="str">
        <v>7月</v>
      </c>
      <c r="K24" s="2" t="str">
        <v>8月</v>
      </c>
      <c r="L24" s="2" t="str">
        <v>9月</v>
      </c>
      <c r="M24" s="2" t="str">
        <v>10月</v>
      </c>
      <c r="N24" s="2" t="str">
        <v>11月</v>
      </c>
      <c r="O24" s="2" t="str">
        <v>12月</v>
      </c>
      <c r="P24" s="3" t="str">
        <v>26年合计</v>
      </c>
      <c r="Q24" s="4" t="str">
        <v>26年销量占比</v>
      </c>
      <c r="R24" s="1" t="str">
        <v>国补前GSV</v>
      </c>
      <c r="S24" s="1" t="str">
        <v>国补后GSV</v>
      </c>
      <c r="T24" s="1" t="str">
        <v>销量差</v>
      </c>
    </row>
    <row customHeight="true" hidden="true" ht="19" r="25">
      <c r="A25" s="8" t="str">
        <v>tb92</v>
      </c>
      <c r="B25" s="8" t="str">
        <v>ABS
白0.42/灰0.09/粉0.23/蓝0.26</v>
      </c>
      <c r="C25" s="10">
        <v>399</v>
      </c>
      <c r="D25" s="5">
        <v>25000</v>
      </c>
      <c r="E25" s="5">
        <v>20000</v>
      </c>
      <c r="F25" s="5">
        <v>25000</v>
      </c>
      <c r="G25" s="5">
        <v>17000</v>
      </c>
      <c r="H25" s="5">
        <v>25000</v>
      </c>
      <c r="I25" s="5">
        <v>20000</v>
      </c>
      <c r="J25" s="5">
        <v>12000</v>
      </c>
      <c r="K25" s="5">
        <v>20000</v>
      </c>
      <c r="L25" s="5">
        <v>24000</v>
      </c>
      <c r="M25" s="5">
        <v>26000</v>
      </c>
      <c r="N25" s="5">
        <v>20000</v>
      </c>
      <c r="O25" s="5">
        <v>18000</v>
      </c>
      <c r="P25" s="6">
        <f>SUM(D25:O25)</f>
      </c>
      <c r="Q25" s="9">
        <f>P25/$P$34</f>
      </c>
      <c r="R25" s="1">
        <f>C25*P25</f>
      </c>
      <c r="S25" s="7">
        <f>R25*0.9</f>
      </c>
      <c r="T25" s="7">
        <f>P25-P4</f>
      </c>
    </row>
    <row customHeight="true" hidden="true" ht="19" r="26">
      <c r="A26" s="8" t="str">
        <v>tb92</v>
      </c>
      <c r="B26" s="8" t="str">
        <v>透明</v>
      </c>
      <c r="C26" s="10">
        <v>459</v>
      </c>
      <c r="D26" s="5">
        <v>30000</v>
      </c>
      <c r="E26" s="5">
        <v>23000</v>
      </c>
      <c r="F26" s="5">
        <v>20000</v>
      </c>
      <c r="G26" s="5">
        <v>20000</v>
      </c>
      <c r="H26" s="5">
        <v>30000</v>
      </c>
      <c r="I26" s="5">
        <v>23000</v>
      </c>
      <c r="J26" s="5">
        <v>15000</v>
      </c>
      <c r="K26" s="5">
        <v>17000</v>
      </c>
      <c r="L26" s="5">
        <v>18000</v>
      </c>
      <c r="M26" s="5">
        <v>25000</v>
      </c>
      <c r="N26" s="5">
        <v>20000</v>
      </c>
      <c r="O26" s="5">
        <v>18050</v>
      </c>
      <c r="P26" s="6">
        <f>SUM(D26:O26)</f>
      </c>
      <c r="Q26" s="9">
        <f>P26/$P$34</f>
      </c>
      <c r="R26" s="1">
        <f>C26*P26</f>
      </c>
      <c r="S26" s="7">
        <f>R26*0.9</f>
      </c>
      <c r="T26" s="7">
        <f>P26-P5</f>
      </c>
    </row>
    <row customHeight="true" hidden="true" ht="19" r="27">
      <c r="A27" s="8" t="str">
        <v>tb92</v>
      </c>
      <c r="B27" s="8" t="str">
        <v>铝合金
银0.57/灰0.05/粉0.22/蓝0.16</v>
      </c>
      <c r="C27" s="34">
        <v>499</v>
      </c>
      <c r="D27" s="30">
        <v>15000</v>
      </c>
      <c r="E27" s="30">
        <v>10000</v>
      </c>
      <c r="F27" s="30">
        <v>12000</v>
      </c>
      <c r="G27" s="30">
        <v>10000</v>
      </c>
      <c r="H27" s="30">
        <v>13000</v>
      </c>
      <c r="I27" s="30">
        <v>10000</v>
      </c>
      <c r="J27" s="30">
        <v>8000</v>
      </c>
      <c r="K27" s="30">
        <v>11000</v>
      </c>
      <c r="L27" s="30">
        <v>12000</v>
      </c>
      <c r="M27" s="5">
        <v>14000</v>
      </c>
      <c r="N27" s="5">
        <v>12000</v>
      </c>
      <c r="O27" s="5">
        <v>12000</v>
      </c>
      <c r="P27" s="6">
        <f>SUM(D27:O27)</f>
      </c>
      <c r="Q27" s="9">
        <f>P27/$P$34</f>
      </c>
      <c r="R27" s="1">
        <f>C27*P27</f>
      </c>
      <c r="S27" s="7">
        <f>R27*0.9</f>
      </c>
      <c r="T27" s="7">
        <f>P27-P6</f>
      </c>
    </row>
    <row customHeight="true" hidden="true" ht="19" r="28">
      <c r="A28" s="8" t="str">
        <v>tb92</v>
      </c>
      <c r="B28" s="8" t="str">
        <v>不锈钢</v>
      </c>
      <c r="C28" s="10">
        <v>599</v>
      </c>
      <c r="D28" s="5">
        <v>0</v>
      </c>
      <c r="E28" s="5">
        <v>0</v>
      </c>
      <c r="F28" s="5">
        <v>2000</v>
      </c>
      <c r="G28" s="5">
        <v>1700</v>
      </c>
      <c r="H28" s="5">
        <v>2500</v>
      </c>
      <c r="I28" s="5">
        <v>2000</v>
      </c>
      <c r="J28" s="5">
        <v>1300</v>
      </c>
      <c r="K28" s="5">
        <v>1600</v>
      </c>
      <c r="L28" s="5">
        <v>1800</v>
      </c>
      <c r="M28" s="5">
        <v>2400</v>
      </c>
      <c r="N28" s="5">
        <v>2000</v>
      </c>
      <c r="O28" s="5">
        <v>1500</v>
      </c>
      <c r="P28" s="6">
        <f>SUM(D28:O28)</f>
      </c>
      <c r="Q28" s="9">
        <f>P28/$P$34</f>
      </c>
      <c r="R28" s="1">
        <f>C28*P28</f>
      </c>
      <c r="S28" s="7">
        <f>R28*0.9</f>
      </c>
      <c r="T28" s="7">
        <f>P28-P7</f>
      </c>
    </row>
    <row customHeight="true" hidden="true" ht="19" r="29">
      <c r="A29" s="8" t="str">
        <v>tb92</v>
      </c>
      <c r="B29" s="8" t="str">
        <v>香槟金新年礼盒</v>
      </c>
      <c r="C29" s="10">
        <v>539</v>
      </c>
      <c r="D29" s="30">
        <v>4000</v>
      </c>
      <c r="E29" s="30">
        <v>3000</v>
      </c>
      <c r="F29" s="30"/>
      <c r="G29" s="30"/>
      <c r="H29" s="30"/>
      <c r="I29" s="30"/>
      <c r="J29" s="30"/>
      <c r="K29" s="30"/>
      <c r="L29" s="30"/>
      <c r="M29" s="5"/>
      <c r="N29" s="5"/>
      <c r="O29" s="5"/>
      <c r="P29" s="6">
        <f>SUM(D29:O29)</f>
      </c>
      <c r="Q29" s="9">
        <f>P29/$P$34</f>
      </c>
      <c r="R29" s="1">
        <f>C29*P29</f>
      </c>
      <c r="S29" s="7">
        <f>R29*0.9</f>
      </c>
      <c r="T29" s="7">
        <f>P29-P8</f>
      </c>
    </row>
    <row customHeight="true" hidden="true" ht="19" r="30">
      <c r="A30" s="8" t="str">
        <v>tb92</v>
      </c>
      <c r="B30" s="8" t="str">
        <v>钛金属</v>
      </c>
      <c r="C30" s="10">
        <v>799</v>
      </c>
      <c r="D30" s="30"/>
      <c r="E30" s="30"/>
      <c r="F30" s="30">
        <v>500</v>
      </c>
      <c r="G30" s="30">
        <v>500</v>
      </c>
      <c r="H30" s="30">
        <v>500</v>
      </c>
      <c r="I30" s="30">
        <v>500</v>
      </c>
      <c r="J30" s="30">
        <v>300</v>
      </c>
      <c r="K30" s="30">
        <v>300</v>
      </c>
      <c r="L30" s="30">
        <v>300</v>
      </c>
      <c r="M30" s="30">
        <v>300</v>
      </c>
      <c r="N30" s="30">
        <v>300</v>
      </c>
      <c r="O30" s="30">
        <v>300</v>
      </c>
      <c r="P30" s="6">
        <f>SUM(D30:O30)</f>
      </c>
      <c r="Q30" s="9">
        <f>P30/$P$34</f>
      </c>
      <c r="R30" s="1">
        <f>C30*P30</f>
      </c>
      <c r="S30" s="7">
        <f>R30*0.9</f>
      </c>
      <c r="T30" s="7">
        <f>P30-P9</f>
      </c>
    </row>
    <row customHeight="true" hidden="true" ht="19" r="31">
      <c r="A31" s="8" t="str">
        <v>TB31</v>
      </c>
      <c r="B31" s="8" t="str">
        <v>SE牙刷</v>
      </c>
      <c r="C31" s="10">
        <v>259</v>
      </c>
      <c r="D31" s="5">
        <v>15000</v>
      </c>
      <c r="E31" s="5">
        <v>14000</v>
      </c>
      <c r="F31" s="5">
        <v>18000</v>
      </c>
      <c r="G31" s="5">
        <v>16000</v>
      </c>
      <c r="H31" s="30"/>
      <c r="I31" s="5"/>
      <c r="J31" s="5"/>
      <c r="K31" s="5"/>
      <c r="L31" s="5"/>
      <c r="M31" s="5"/>
      <c r="N31" s="5"/>
      <c r="O31" s="5"/>
      <c r="P31" s="6">
        <f>SUM(D31:O31)</f>
      </c>
      <c r="Q31" s="9">
        <f>P31/$P$34</f>
      </c>
      <c r="R31" s="1">
        <f>C31*P31</f>
      </c>
      <c r="S31" s="7">
        <f>R31*0.9</f>
      </c>
      <c r="T31" s="7">
        <f>P31-P10</f>
      </c>
    </row>
    <row customHeight="true" hidden="true" ht="19" r="32">
      <c r="A32" s="8" t="str">
        <v>TB32</v>
      </c>
      <c r="B32" s="8" t="str">
        <v>SE02牙刷</v>
      </c>
      <c r="C32" s="34">
        <v>299</v>
      </c>
      <c r="D32" s="30"/>
      <c r="E32" s="30"/>
      <c r="F32" s="30"/>
      <c r="G32" s="30"/>
      <c r="H32" s="30">
        <v>20000</v>
      </c>
      <c r="I32" s="30">
        <v>18000</v>
      </c>
      <c r="J32" s="30">
        <v>15000</v>
      </c>
      <c r="K32" s="30">
        <v>17000</v>
      </c>
      <c r="L32" s="30">
        <v>19000</v>
      </c>
      <c r="M32" s="30">
        <v>25000</v>
      </c>
      <c r="N32" s="30">
        <v>20000</v>
      </c>
      <c r="O32" s="30">
        <v>17000</v>
      </c>
      <c r="P32" s="6">
        <f>SUM(D32:O32)</f>
      </c>
      <c r="Q32" s="9">
        <f>P32/$P$34</f>
      </c>
      <c r="R32" s="1">
        <f>C32*P32</f>
      </c>
      <c r="S32" s="7">
        <f>R32*0.9</f>
      </c>
      <c r="T32" s="7">
        <f>P32-P11</f>
      </c>
    </row>
    <row customHeight="true" hidden="true" ht="19" r="33">
      <c r="A33" s="8" t="str">
        <v>TC51</v>
      </c>
      <c r="B33" s="8" t="str">
        <v>儿童电动牙刷</v>
      </c>
      <c r="C33" s="10">
        <v>499</v>
      </c>
      <c r="D33" s="5"/>
      <c r="E33" s="5"/>
      <c r="F33" s="5"/>
      <c r="G33" s="5"/>
      <c r="H33" s="5">
        <v>15000</v>
      </c>
      <c r="I33" s="5">
        <v>12000</v>
      </c>
      <c r="J33" s="5">
        <v>10000</v>
      </c>
      <c r="K33" s="5">
        <v>15000</v>
      </c>
      <c r="L33" s="5">
        <v>12000</v>
      </c>
      <c r="M33" s="5">
        <v>15000</v>
      </c>
      <c r="N33" s="5">
        <v>12000</v>
      </c>
      <c r="O33" s="5">
        <v>12000</v>
      </c>
      <c r="P33" s="6">
        <f>SUM(D33:O33)</f>
      </c>
      <c r="Q33" s="9">
        <f>P33/$P$34</f>
      </c>
      <c r="R33" s="1">
        <f>C33*P33</f>
      </c>
      <c r="S33" s="7">
        <f>R33*0.9</f>
      </c>
      <c r="T33" s="7">
        <f>P33-P12</f>
      </c>
    </row>
    <row customHeight="true" hidden="true" ht="19" r="34">
      <c r="A34" s="11"/>
      <c r="B34" s="11" t="str">
        <v>累计</v>
      </c>
      <c r="C34" s="11"/>
      <c r="D34" s="12">
        <f>SUM(D25:D33)</f>
      </c>
      <c r="E34" s="12">
        <f>SUM(E25:E33)</f>
      </c>
      <c r="F34" s="12">
        <f>SUM(F25:F33)</f>
      </c>
      <c r="G34" s="12">
        <f>SUM(G25:G33)</f>
      </c>
      <c r="H34" s="12">
        <f>SUM(H25:H33)</f>
      </c>
      <c r="I34" s="12">
        <f>SUM(I25:I33)</f>
      </c>
      <c r="J34" s="12">
        <f>SUM(J25:J33)</f>
      </c>
      <c r="K34" s="12">
        <f>SUM(K25:K33)</f>
      </c>
      <c r="L34" s="12">
        <f>SUM(L25:L33)</f>
      </c>
      <c r="M34" s="12">
        <f>SUM(M25:M33)</f>
      </c>
      <c r="N34" s="12">
        <f>SUM(N25:N33)</f>
      </c>
      <c r="O34" s="12">
        <f>SUM(O25:O33)</f>
      </c>
      <c r="P34" s="20">
        <f>SUM(P25:P33)</f>
      </c>
      <c r="Q34" s="21">
        <f>SUM(Q25:Q33)</f>
      </c>
      <c r="R34" s="20">
        <f>SUM(R25:R33)</f>
      </c>
      <c r="S34" s="20">
        <f>SUM(S25:S33)</f>
      </c>
      <c r="T34" s="7">
        <f>P34-P13</f>
      </c>
    </row>
    <row customHeight="true" hidden="true" ht="19" r="35">
      <c r="A35" s="22"/>
      <c r="B35" s="22"/>
      <c r="C35" s="24"/>
      <c r="D35" s="23"/>
      <c r="E35" s="23"/>
      <c r="F35" s="23"/>
      <c r="G35" s="23"/>
      <c r="H35" s="23">
        <f>25000*459</f>
      </c>
      <c r="I35" s="23">
        <f>22000*459</f>
      </c>
      <c r="J35" s="23"/>
      <c r="K35" s="23"/>
      <c r="L35" s="23"/>
      <c r="M35" s="23"/>
      <c r="N35" s="23"/>
      <c r="O35" s="23"/>
      <c r="P35" s="22"/>
      <c r="Q35" s="25"/>
      <c r="S35" s="1"/>
      <c r="T35" s="1"/>
      <c r="U35" s="1"/>
    </row>
    <row customHeight="true" hidden="true" ht="19" r="36">
      <c r="A36" s="2" t="str">
        <v>系列汇总</v>
      </c>
      <c r="B36" s="2"/>
      <c r="C36" s="2"/>
      <c r="D36" s="27" t="str">
        <v>1月</v>
      </c>
      <c r="E36" s="27" t="str">
        <v>2月</v>
      </c>
      <c r="F36" s="27" t="str">
        <v>3月</v>
      </c>
      <c r="G36" s="27" t="str">
        <v>4月</v>
      </c>
      <c r="H36" s="27" t="str">
        <v>5月</v>
      </c>
      <c r="I36" s="27" t="str">
        <v>6月</v>
      </c>
      <c r="J36" s="27" t="str">
        <v>7月</v>
      </c>
      <c r="K36" s="27" t="str">
        <v>8月</v>
      </c>
      <c r="L36" s="27" t="str">
        <v>9月</v>
      </c>
      <c r="M36" s="27" t="str">
        <v>10月</v>
      </c>
      <c r="N36" s="27" t="str">
        <v>11月</v>
      </c>
      <c r="O36" s="27" t="str">
        <v>12月</v>
      </c>
      <c r="P36" s="28" t="str">
        <v>26年合计</v>
      </c>
      <c r="Q36" s="29" t="str">
        <v>26年销量占比</v>
      </c>
    </row>
    <row customHeight="true" hidden="true" ht="19" r="37">
      <c r="A37" s="8" t="str">
        <v>tb92</v>
      </c>
      <c r="B37" s="19"/>
      <c r="C37" s="19"/>
      <c r="D37" s="16">
        <f>SUM(D25:D30)</f>
      </c>
      <c r="E37" s="16">
        <f>SUM(E25:E30)</f>
      </c>
      <c r="F37" s="16">
        <f>SUM(F25:F30)</f>
      </c>
      <c r="G37" s="16">
        <f>SUM(G25:G30)</f>
      </c>
      <c r="H37" s="16">
        <f>SUM(H25:H30)</f>
      </c>
      <c r="I37" s="16">
        <f>SUM(I25:I30)</f>
      </c>
      <c r="J37" s="16">
        <f>SUM(J25:J30)</f>
      </c>
      <c r="K37" s="16">
        <f>SUM(K25:K30)</f>
      </c>
      <c r="L37" s="16">
        <f>SUM(L25:L30)</f>
      </c>
      <c r="M37" s="16">
        <f>SUM(M25:M30)</f>
      </c>
      <c r="N37" s="16">
        <f>SUM(N25:N30)</f>
      </c>
      <c r="O37" s="16">
        <f>SUM(O25:O30)</f>
      </c>
      <c r="P37" s="17">
        <f>SUM(D37:O37)</f>
      </c>
      <c r="Q37" s="18">
        <f>P37/$P$41</f>
      </c>
    </row>
    <row customHeight="true" hidden="true" ht="19" r="38">
      <c r="A38" s="8" t="str">
        <v>TB31</v>
      </c>
      <c r="B38" s="19"/>
      <c r="C38" s="19"/>
      <c r="D38" s="16">
        <f>SUM(D31)</f>
      </c>
      <c r="E38" s="16">
        <f>SUM(E31)</f>
      </c>
      <c r="F38" s="16">
        <f>SUM(F31)</f>
      </c>
      <c r="G38" s="16">
        <f>SUM(G31)</f>
      </c>
      <c r="H38" s="16">
        <f>SUM(H31)</f>
      </c>
      <c r="I38" s="16">
        <f>SUM(I31)</f>
      </c>
      <c r="J38" s="16">
        <f>SUM(J31)</f>
      </c>
      <c r="K38" s="16">
        <f>SUM(K31)</f>
      </c>
      <c r="L38" s="16">
        <f>SUM(L31)</f>
      </c>
      <c r="M38" s="16">
        <f>SUM(M31)</f>
      </c>
      <c r="N38" s="16">
        <f>SUM(N31)</f>
      </c>
      <c r="O38" s="16">
        <f>SUM(O31)</f>
      </c>
      <c r="P38" s="17">
        <f>SUM(D38:O38)</f>
      </c>
      <c r="Q38" s="18">
        <f>P38/$P$41</f>
      </c>
    </row>
    <row customHeight="true" hidden="true" ht="19" r="39">
      <c r="A39" s="8" t="str">
        <v>TB32</v>
      </c>
      <c r="B39" s="19"/>
      <c r="C39" s="19"/>
      <c r="D39" s="16">
        <f>SUM(D32)</f>
      </c>
      <c r="E39" s="16">
        <f>SUM(E32)</f>
      </c>
      <c r="F39" s="16">
        <f>SUM(F32)</f>
      </c>
      <c r="G39" s="16">
        <f>SUM(G32)</f>
      </c>
      <c r="H39" s="16">
        <f>SUM(H32)</f>
      </c>
      <c r="I39" s="16">
        <f>SUM(I32)</f>
      </c>
      <c r="J39" s="16">
        <f>SUM(J32)</f>
      </c>
      <c r="K39" s="16">
        <f>SUM(K32)</f>
      </c>
      <c r="L39" s="16">
        <f>SUM(L32)</f>
      </c>
      <c r="M39" s="16">
        <f>SUM(M32)</f>
      </c>
      <c r="N39" s="16">
        <f>SUM(N32)</f>
      </c>
      <c r="O39" s="16">
        <f>SUM(O32)</f>
      </c>
      <c r="P39" s="17">
        <f>SUM(D39:O39)</f>
      </c>
      <c r="Q39" s="18">
        <f>P39/$P$41</f>
      </c>
    </row>
    <row customHeight="true" hidden="true" ht="19" r="40">
      <c r="A40" s="8" t="str">
        <v>TC51</v>
      </c>
      <c r="B40" s="19"/>
      <c r="C40" s="19"/>
      <c r="D40" s="16">
        <f>SUM(D33)</f>
      </c>
      <c r="E40" s="16">
        <f>SUM(E33)</f>
      </c>
      <c r="F40" s="16">
        <f>SUM(F33)</f>
      </c>
      <c r="G40" s="16">
        <f>SUM(G33)</f>
      </c>
      <c r="H40" s="16">
        <f>SUM(H33)</f>
      </c>
      <c r="I40" s="16">
        <f>SUM(I33)</f>
      </c>
      <c r="J40" s="16">
        <f>SUM(J33)</f>
      </c>
      <c r="K40" s="16">
        <f>SUM(K33)</f>
      </c>
      <c r="L40" s="16">
        <f>SUM(L33)</f>
      </c>
      <c r="M40" s="16">
        <f>SUM(M33)</f>
      </c>
      <c r="N40" s="16">
        <f>SUM(N33)</f>
      </c>
      <c r="O40" s="16">
        <f>SUM(O33)</f>
      </c>
      <c r="P40" s="17">
        <f>SUM(D40:O40)</f>
      </c>
      <c r="Q40" s="18">
        <f>P40/$P$41</f>
      </c>
    </row>
    <row customHeight="true" hidden="true" ht="19" r="41">
      <c r="A41" s="11"/>
      <c r="B41" s="11" t="str">
        <v>累计</v>
      </c>
      <c r="C41" s="11"/>
      <c r="D41" s="12">
        <f>SUM(D37:D40)</f>
      </c>
      <c r="E41" s="12">
        <f>SUM(E37:E40)</f>
      </c>
      <c r="F41" s="12">
        <f>SUM(F37:F40)</f>
      </c>
      <c r="G41" s="12">
        <f>SUM(G37:G40)</f>
      </c>
      <c r="H41" s="12">
        <f>SUM(H37:H40)</f>
      </c>
      <c r="I41" s="12">
        <f>SUM(I37:I40)</f>
      </c>
      <c r="J41" s="12">
        <f>SUM(J37:J40)</f>
      </c>
      <c r="K41" s="12">
        <f>SUM(K37:K40)</f>
      </c>
      <c r="L41" s="12">
        <f>SUM(L37:L40)</f>
      </c>
      <c r="M41" s="12">
        <f>SUM(M37:M40)</f>
      </c>
      <c r="N41" s="12">
        <f>SUM(N37:N40)</f>
      </c>
      <c r="O41" s="12">
        <f>SUM(O37:O40)</f>
      </c>
      <c r="P41" s="11">
        <f>SUM(P37:P40)</f>
      </c>
      <c r="Q41" s="11">
        <f>SUM(Q37:Q40)</f>
      </c>
    </row>
    <row customHeight="true" hidden="true" ht="19" r="42">
      <c r="H42" s="13"/>
    </row>
    <row customHeight="true" hidden="true" ht="19" r="43"/>
    <row customHeight="true" hidden="true" ht="19" r="44">
      <c r="A44" s="14" t="str">
        <v>GTM 销量预测版-刷新12月22日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</row>
    <row customHeight="true" hidden="true" ht="19" r="45">
      <c r="A45" s="36" t="str">
        <v>货量/支</v>
      </c>
      <c r="B45" s="36"/>
      <c r="C45" s="36"/>
      <c r="D45" s="36">
        <v>0.2</v>
      </c>
      <c r="E45" s="36">
        <v>0.19</v>
      </c>
      <c r="F45" s="36">
        <v>0.19</v>
      </c>
      <c r="G45" s="36">
        <v>0.19</v>
      </c>
      <c r="H45" s="36">
        <v>0.18</v>
      </c>
      <c r="I45" s="36">
        <v>0.2</v>
      </c>
      <c r="J45" s="36">
        <v>0.18</v>
      </c>
      <c r="K45" s="36">
        <v>0.18</v>
      </c>
      <c r="L45" s="36">
        <v>0.18</v>
      </c>
      <c r="M45" s="36">
        <v>0.17</v>
      </c>
      <c r="N45" s="36">
        <v>0.17</v>
      </c>
      <c r="O45" s="36">
        <v>0.17</v>
      </c>
      <c r="P45" s="39"/>
      <c r="Q45" s="9"/>
      <c r="R45" s="15"/>
      <c r="S45" s="15"/>
      <c r="T45" s="15"/>
      <c r="U45" s="15"/>
    </row>
    <row customHeight="true" hidden="true" ht="19" r="46">
      <c r="A46" s="2" t="str">
        <v>系列</v>
      </c>
      <c r="B46" s="2" t="str">
        <v>SPU</v>
      </c>
      <c r="C46" s="2" t="str">
        <v>单价</v>
      </c>
      <c r="D46" s="2" t="str">
        <v>1月</v>
      </c>
      <c r="E46" s="2" t="str">
        <v>2月</v>
      </c>
      <c r="F46" s="2" t="str">
        <v>3月</v>
      </c>
      <c r="G46" s="2" t="str">
        <v>4月</v>
      </c>
      <c r="H46" s="2" t="str">
        <v>5月</v>
      </c>
      <c r="I46" s="2" t="str">
        <v>6月</v>
      </c>
      <c r="J46" s="2" t="str">
        <v>7月</v>
      </c>
      <c r="K46" s="2" t="str">
        <v>8月</v>
      </c>
      <c r="L46" s="2" t="str">
        <v>9月</v>
      </c>
      <c r="M46" s="2" t="str">
        <v>10月</v>
      </c>
      <c r="N46" s="2" t="str">
        <v>11月</v>
      </c>
      <c r="O46" s="2" t="str">
        <v>12月</v>
      </c>
      <c r="P46" s="3" t="str">
        <v>国补后GMV</v>
      </c>
      <c r="Q46" s="4" t="str">
        <v>26年销量占比</v>
      </c>
      <c r="R46" s="1"/>
      <c r="S46" s="1"/>
      <c r="T46" s="1"/>
      <c r="U46" s="1"/>
    </row>
    <row customHeight="true" hidden="true" ht="19" r="47">
      <c r="A47" s="8" t="str">
        <v>tb92</v>
      </c>
      <c r="B47" s="8" t="str">
        <v>ABS
白0.42/灰0.09/粉0.23/蓝0.26</v>
      </c>
      <c r="C47" s="10">
        <v>399</v>
      </c>
      <c r="D47" s="5">
        <f>D25*$C47/(1-D$45)</f>
      </c>
      <c r="E47" s="5">
        <f>E25*$C47/(1-E$45)</f>
      </c>
      <c r="F47" s="5">
        <f>F25*$C47/(1-F$45)</f>
      </c>
      <c r="G47" s="5">
        <f>G25*$C47/(1-G$45)</f>
      </c>
      <c r="H47" s="5">
        <f>H25*$C47/(1-H$45)</f>
      </c>
      <c r="I47" s="5">
        <f>I25*$C47/(1-I$45)</f>
      </c>
      <c r="J47" s="5">
        <f>J25*$C47/(1-J$45)</f>
      </c>
      <c r="K47" s="5">
        <f>K25*$C47/(1-K$45)</f>
      </c>
      <c r="L47" s="5">
        <f>L25*$C47/(1-L$45)</f>
      </c>
      <c r="M47" s="5">
        <f>M25*$C47/(1-M$45)</f>
      </c>
      <c r="N47" s="5">
        <f>N25*$C47/(1-N$45)</f>
      </c>
      <c r="O47" s="5">
        <f>O25*$C47/(1-O$45)</f>
      </c>
      <c r="P47" s="6">
        <f>SUM(D47:O47)</f>
      </c>
      <c r="Q47" s="9">
        <f>P47/$P$56</f>
      </c>
      <c r="R47" s="1"/>
      <c r="S47" s="7"/>
      <c r="T47" s="7"/>
      <c r="U47" s="7"/>
    </row>
    <row customHeight="true" hidden="true" ht="19" r="48">
      <c r="A48" s="8" t="str">
        <v>tb92</v>
      </c>
      <c r="B48" s="8" t="str">
        <v>透明</v>
      </c>
      <c r="C48" s="10">
        <v>459</v>
      </c>
      <c r="D48" s="5">
        <f>D26*$C48/(1-D$45)</f>
      </c>
      <c r="E48" s="5">
        <f>E26*$C48/(1-E$45)</f>
      </c>
      <c r="F48" s="5">
        <f>F26*$C48/(1-F$45)</f>
      </c>
      <c r="G48" s="5">
        <f>G26*$C48/(1-G$45)</f>
      </c>
      <c r="H48" s="5">
        <f>H26*$C48/(1-H$45)</f>
      </c>
      <c r="I48" s="5">
        <f>I26*$C48/(1-I$45)</f>
      </c>
      <c r="J48" s="5">
        <f>J26*$C48/(1-J$45)</f>
      </c>
      <c r="K48" s="5">
        <f>K26*$C48/(1-K$45)</f>
      </c>
      <c r="L48" s="5">
        <f>L26*$C48/(1-L$45)</f>
      </c>
      <c r="M48" s="5">
        <f>M26*$C48/(1-M$45)</f>
      </c>
      <c r="N48" s="5">
        <f>N26*$C48/(1-N$45)</f>
      </c>
      <c r="O48" s="5">
        <f>O26*$C48/(1-O$45)</f>
      </c>
      <c r="P48" s="6">
        <f>SUM(D48:O48)</f>
      </c>
      <c r="Q48" s="9">
        <f>P48/$P$56</f>
      </c>
      <c r="R48" s="1"/>
      <c r="S48" s="7"/>
      <c r="T48" s="7"/>
      <c r="U48" s="7"/>
    </row>
    <row customHeight="true" hidden="true" ht="19" r="49">
      <c r="A49" s="8" t="str">
        <v>tb92</v>
      </c>
      <c r="B49" s="8" t="str">
        <v>铝合金
银0.57/灰0.05/粉0.22/蓝0.16</v>
      </c>
      <c r="C49" s="34">
        <v>499</v>
      </c>
      <c r="D49" s="5">
        <f>D27*$C49/(1-D$45)</f>
      </c>
      <c r="E49" s="5">
        <f>E27*$C49/(1-E$45)</f>
      </c>
      <c r="F49" s="5">
        <f>F27*$C49/(1-F$45)</f>
      </c>
      <c r="G49" s="5">
        <f>G27*$C49/(1-G$45)</f>
      </c>
      <c r="H49" s="5">
        <f>H27*$C49/(1-H$45)</f>
      </c>
      <c r="I49" s="5">
        <f>I27*$C49/(1-I$45)</f>
      </c>
      <c r="J49" s="5">
        <f>J27*$C49/(1-J$45)</f>
      </c>
      <c r="K49" s="5">
        <f>K27*$C49/(1-K$45)</f>
      </c>
      <c r="L49" s="5">
        <f>L27*$C49/(1-L$45)</f>
      </c>
      <c r="M49" s="5">
        <f>M27*$C49/(1-M$45)</f>
      </c>
      <c r="N49" s="5">
        <f>N27*$C49/(1-N$45)</f>
      </c>
      <c r="O49" s="5">
        <f>O27*$C49/(1-O$45)</f>
      </c>
      <c r="P49" s="6">
        <f>SUM(D49:O49)</f>
      </c>
      <c r="Q49" s="9">
        <f>P49/$P$56</f>
      </c>
      <c r="R49" s="1"/>
      <c r="S49" s="7"/>
      <c r="T49" s="7"/>
      <c r="U49" s="7"/>
    </row>
    <row customHeight="true" hidden="true" ht="19" r="50">
      <c r="A50" s="8" t="str">
        <v>tb92</v>
      </c>
      <c r="B50" s="8" t="str">
        <v>不锈钢</v>
      </c>
      <c r="C50" s="10">
        <v>599</v>
      </c>
      <c r="D50" s="5">
        <f>D28*$C50/(1-D$45)</f>
      </c>
      <c r="E50" s="5">
        <f>E28*$C50/(1-E$45)</f>
      </c>
      <c r="F50" s="5">
        <f>F28*$C50/(1-F$45)</f>
      </c>
      <c r="G50" s="5">
        <f>G28*$C50/(1-G$45)</f>
      </c>
      <c r="H50" s="5">
        <f>H28*$C50/(1-H$45)</f>
      </c>
      <c r="I50" s="5">
        <f>I28*$C50/(1-I$45)</f>
      </c>
      <c r="J50" s="5">
        <f>J28*$C50/(1-J$45)</f>
      </c>
      <c r="K50" s="5">
        <f>K28*$C50/(1-K$45)</f>
      </c>
      <c r="L50" s="5">
        <f>L28*$C50/(1-L$45)</f>
      </c>
      <c r="M50" s="5">
        <f>M28*$C50/(1-M$45)</f>
      </c>
      <c r="N50" s="5">
        <f>N28*$C50/(1-N$45)</f>
      </c>
      <c r="O50" s="5">
        <f>O28*$C50/(1-O$45)</f>
      </c>
      <c r="P50" s="6">
        <f>SUM(D50:O50)</f>
      </c>
      <c r="Q50" s="9">
        <f>P50/$P$56</f>
      </c>
      <c r="R50" s="1"/>
      <c r="S50" s="7"/>
      <c r="T50" s="7"/>
      <c r="U50" s="7"/>
    </row>
    <row customHeight="true" hidden="true" ht="19" r="51">
      <c r="A51" s="8" t="str">
        <v>tb92</v>
      </c>
      <c r="B51" s="8" t="str">
        <v>香槟金新年礼盒</v>
      </c>
      <c r="C51" s="10">
        <v>539</v>
      </c>
      <c r="D51" s="5">
        <f>D29*$C51/(1-D$45)</f>
      </c>
      <c r="E51" s="5">
        <f>E29*$C51/(1-E$45)</f>
      </c>
      <c r="F51" s="5">
        <f>F29*$C51/(1-F$45)</f>
      </c>
      <c r="G51" s="5">
        <f>G29*$C51/(1-G$45)</f>
      </c>
      <c r="H51" s="5">
        <f>H29*$C51/(1-H$45)</f>
      </c>
      <c r="I51" s="5">
        <f>I29*$C51/(1-I$45)</f>
      </c>
      <c r="J51" s="5">
        <f>J29*$C51/(1-J$45)</f>
      </c>
      <c r="K51" s="5">
        <f>K29*$C51/(1-K$45)</f>
      </c>
      <c r="L51" s="5">
        <f>L29*$C51/(1-L$45)</f>
      </c>
      <c r="M51" s="5">
        <f>M29*$C51/(1-M$45)</f>
      </c>
      <c r="N51" s="5">
        <f>N29*$C51/(1-N$45)</f>
      </c>
      <c r="O51" s="5">
        <f>O29*$C51/(1-O$45)</f>
      </c>
      <c r="P51" s="6">
        <f>SUM(D51:O51)</f>
      </c>
      <c r="Q51" s="9">
        <f>P51/$P$56</f>
      </c>
      <c r="R51" s="1"/>
      <c r="S51" s="7"/>
      <c r="T51" s="7"/>
      <c r="U51" s="7"/>
    </row>
    <row customHeight="true" hidden="true" ht="19" r="52">
      <c r="A52" s="8" t="str">
        <v>tb92</v>
      </c>
      <c r="B52" s="8" t="str">
        <v>钛金属</v>
      </c>
      <c r="C52" s="10">
        <v>799</v>
      </c>
      <c r="D52" s="5">
        <f>D30*$C52/(1-D$45)</f>
      </c>
      <c r="E52" s="5">
        <f>E30*$C52/(1-E$45)</f>
      </c>
      <c r="F52" s="5">
        <f>F30*$C52/(1-F$45)</f>
      </c>
      <c r="G52" s="5">
        <f>G30*$C52/(1-G$45)</f>
      </c>
      <c r="H52" s="5">
        <f>H30*$C52/(1-H$45)</f>
      </c>
      <c r="I52" s="5">
        <f>I30*$C52/(1-I$45)</f>
      </c>
      <c r="J52" s="5">
        <f>J30*$C52/(1-J$45)</f>
      </c>
      <c r="K52" s="5">
        <f>K30*$C52/(1-K$45)</f>
      </c>
      <c r="L52" s="5">
        <f>L30*$C52/(1-L$45)</f>
      </c>
      <c r="M52" s="5">
        <f>M30*$C52/(1-M$45)</f>
      </c>
      <c r="N52" s="5">
        <f>N30*$C52/(1-N$45)</f>
      </c>
      <c r="O52" s="5">
        <f>O30*$C52/(1-O$45)</f>
      </c>
      <c r="P52" s="6">
        <f>SUM(D52:O52)</f>
      </c>
      <c r="Q52" s="9">
        <f>P52/$P$56</f>
      </c>
      <c r="R52" s="1"/>
      <c r="S52" s="7"/>
      <c r="T52" s="7"/>
      <c r="U52" s="7"/>
    </row>
    <row customHeight="true" hidden="true" ht="19" r="53">
      <c r="A53" s="8" t="str">
        <v>TB31</v>
      </c>
      <c r="B53" s="8" t="str">
        <v>SE牙刷</v>
      </c>
      <c r="C53" s="10">
        <v>259</v>
      </c>
      <c r="D53" s="5">
        <f>D31*$C53/(1-D$45)</f>
      </c>
      <c r="E53" s="5">
        <f>E31*$C53/(1-E$45)</f>
      </c>
      <c r="F53" s="5">
        <f>F31*$C53/(1-F$45)</f>
      </c>
      <c r="G53" s="5">
        <f>G31*$C53/(1-G$45)</f>
      </c>
      <c r="H53" s="5">
        <f>H31*$C53/(1-H$45)</f>
      </c>
      <c r="I53" s="5">
        <f>I31*$C53/(1-I$45)</f>
      </c>
      <c r="J53" s="5">
        <f>J31*$C53/(1-J$45)</f>
      </c>
      <c r="K53" s="5">
        <f>K31*$C53/(1-K$45)</f>
      </c>
      <c r="L53" s="5">
        <f>L31*$C53/(1-L$45)</f>
      </c>
      <c r="M53" s="5">
        <f>M31*$C53/(1-M$45)</f>
      </c>
      <c r="N53" s="5">
        <f>N31*$C53/(1-N$45)</f>
      </c>
      <c r="O53" s="5">
        <f>O31*$C53/(1-O$45)</f>
      </c>
      <c r="P53" s="6">
        <f>SUM(D53:O53)</f>
      </c>
      <c r="Q53" s="9">
        <f>P53/$P$56</f>
      </c>
      <c r="R53" s="1"/>
      <c r="S53" s="7"/>
      <c r="T53" s="7"/>
      <c r="U53" s="7"/>
    </row>
    <row customHeight="true" hidden="true" ht="19" r="54">
      <c r="A54" s="8" t="str">
        <v>TB32</v>
      </c>
      <c r="B54" s="8" t="str">
        <v>SE02牙刷</v>
      </c>
      <c r="C54" s="34">
        <v>299</v>
      </c>
      <c r="D54" s="5">
        <f>D32*$C54/(1-D$45)</f>
      </c>
      <c r="E54" s="5">
        <f>E32*$C54/(1-E$45)</f>
      </c>
      <c r="F54" s="5">
        <f>F32*$C54/(1-F$45)</f>
      </c>
      <c r="G54" s="5">
        <f>G32*$C54/(1-G$45)</f>
      </c>
      <c r="H54" s="5">
        <f>H32*$C54/(1-H$45)</f>
      </c>
      <c r="I54" s="5">
        <f>I32*$C54/(1-I$45)</f>
      </c>
      <c r="J54" s="5">
        <f>J32*$C54/(1-J$45)</f>
      </c>
      <c r="K54" s="5">
        <f>K32*$C54/(1-K$45)</f>
      </c>
      <c r="L54" s="5">
        <f>L32*$C54/(1-L$45)</f>
      </c>
      <c r="M54" s="5">
        <f>M32*$C54/(1-M$45)</f>
      </c>
      <c r="N54" s="5">
        <f>N32*$C54/(1-N$45)</f>
      </c>
      <c r="O54" s="5">
        <f>O32*$C54/(1-O$45)</f>
      </c>
      <c r="P54" s="6">
        <f>SUM(D54:O54)</f>
      </c>
      <c r="Q54" s="9">
        <f>P54/$P$56</f>
      </c>
      <c r="R54" s="1"/>
      <c r="S54" s="7"/>
      <c r="T54" s="7"/>
      <c r="U54" s="7"/>
    </row>
    <row customHeight="true" hidden="true" ht="19" r="55">
      <c r="A55" s="8" t="str">
        <v>TC51</v>
      </c>
      <c r="B55" s="8" t="str">
        <v>儿童电动牙刷</v>
      </c>
      <c r="C55" s="10">
        <v>499</v>
      </c>
      <c r="D55" s="5">
        <f>D33*$C55/(1-D$45)</f>
      </c>
      <c r="E55" s="5">
        <f>E33*$C55/(1-E$45)</f>
      </c>
      <c r="F55" s="5">
        <f>F33*$C55/(1-F$45)</f>
      </c>
      <c r="G55" s="5">
        <f>G33*$C55/(1-G$45)</f>
      </c>
      <c r="H55" s="5">
        <f>H33*$C55/(1-H$45)</f>
      </c>
      <c r="I55" s="5">
        <f>I33*$C55/(1-I$45)</f>
      </c>
      <c r="J55" s="5">
        <f>J33*$C55/(1-J$45)</f>
      </c>
      <c r="K55" s="5">
        <f>K33*$C55/(1-K$45)</f>
      </c>
      <c r="L55" s="5">
        <f>L33*$C55/(1-L$45)</f>
      </c>
      <c r="M55" s="5">
        <f>M33*$C55/(1-M$45)</f>
      </c>
      <c r="N55" s="5">
        <f>N33*$C55/(1-N$45)</f>
      </c>
      <c r="O55" s="5">
        <f>O33*$C55/(1-O$45)</f>
      </c>
      <c r="P55" s="6">
        <f>SUM(D55:O55)</f>
      </c>
      <c r="Q55" s="9">
        <f>P55/$P$56</f>
      </c>
      <c r="R55" s="1"/>
      <c r="S55" s="7"/>
      <c r="T55" s="7"/>
      <c r="U55" s="7"/>
    </row>
    <row customHeight="true" hidden="true" ht="19" r="56">
      <c r="A56" s="11"/>
      <c r="B56" s="11" t="str">
        <v>累计</v>
      </c>
      <c r="C56" s="11"/>
      <c r="D56" s="12">
        <f>SUM(D47:D55)</f>
      </c>
      <c r="E56" s="12">
        <f>SUM(E47:E55)</f>
      </c>
      <c r="F56" s="12">
        <f>SUM(F47:F55)</f>
      </c>
      <c r="G56" s="12">
        <f>SUM(G47:G55)</f>
      </c>
      <c r="H56" s="12">
        <f>SUM(H47:H55)</f>
      </c>
      <c r="I56" s="12">
        <f>SUM(I47:I55)</f>
      </c>
      <c r="J56" s="12">
        <f>SUM(J47:J55)</f>
      </c>
      <c r="K56" s="12">
        <f>SUM(K47:K55)</f>
      </c>
      <c r="L56" s="12">
        <f>SUM(L47:L55)</f>
      </c>
      <c r="M56" s="12">
        <f>SUM(M47:M55)</f>
      </c>
      <c r="N56" s="12">
        <f>SUM(N47:N55)</f>
      </c>
      <c r="O56" s="12">
        <f>SUM(O47:O55)</f>
      </c>
      <c r="P56" s="20">
        <f>SUM(P47:P55)</f>
      </c>
      <c r="Q56" s="21">
        <f>SUM(Q47:Q55)</f>
      </c>
      <c r="R56" s="20"/>
      <c r="S56" s="20"/>
      <c r="T56" s="20"/>
      <c r="U56" s="7"/>
    </row>
    <row customHeight="true" hidden="true" ht="19" r="57">
      <c r="A57" s="15"/>
      <c r="P57">
        <v>552275658.7422862</v>
      </c>
    </row>
    <row customHeight="true" hidden="true" ht="19" r="58">
      <c r="A58" s="15"/>
    </row>
    <row customHeight="true" ht="19" r="59">
      <c r="A59" s="14" t="str">
        <v>GTM 财经版-刷新2月26日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</row>
    <row customHeight="true" ht="19" r="60">
      <c r="A60" s="36" t="str">
        <v>货量/支</v>
      </c>
      <c r="B60" s="36"/>
      <c r="C60" s="36"/>
      <c r="D60" s="36"/>
      <c r="E60" s="36" t="str">
        <v>过年</v>
      </c>
      <c r="F60" s="36" t="str">
        <v>女王节</v>
      </c>
      <c r="G60" s="36"/>
      <c r="H60" s="36" t="str">
        <v>618大促</v>
      </c>
      <c r="I60" s="36" t="str">
        <v>618大促</v>
      </c>
      <c r="J60" s="36"/>
      <c r="K60" s="36"/>
      <c r="L60" s="36"/>
      <c r="M60" s="36" t="str">
        <v>双十一大促</v>
      </c>
      <c r="N60" s="36" t="str">
        <v>双十一大促</v>
      </c>
      <c r="O60" s="36"/>
      <c r="P60" s="39"/>
      <c r="Q60" s="9"/>
      <c r="R60" s="15"/>
      <c r="S60" s="15"/>
      <c r="T60" s="15"/>
      <c r="U60" s="15"/>
    </row>
    <row customHeight="true" ht="19" r="61">
      <c r="A61" s="2" t="str">
        <v>系列</v>
      </c>
      <c r="B61" s="2" t="str">
        <v>SPU</v>
      </c>
      <c r="C61" s="2" t="str">
        <v>单价</v>
      </c>
      <c r="D61" s="2" t="str">
        <v>1月</v>
      </c>
      <c r="E61" s="2" t="str">
        <v>2月</v>
      </c>
      <c r="F61" s="2" t="str">
        <v>3月</v>
      </c>
      <c r="G61" s="2" t="str">
        <v>4月</v>
      </c>
      <c r="H61" s="2" t="str">
        <v>5月</v>
      </c>
      <c r="I61" s="2" t="str">
        <v>6月</v>
      </c>
      <c r="J61" s="2" t="str">
        <v>7月</v>
      </c>
      <c r="K61" s="2" t="str">
        <v>8月</v>
      </c>
      <c r="L61" s="2" t="str">
        <v>9月</v>
      </c>
      <c r="M61" s="2" t="str">
        <v>10月</v>
      </c>
      <c r="N61" s="2" t="str">
        <v>11月</v>
      </c>
      <c r="O61" s="2" t="str">
        <v>12月</v>
      </c>
      <c r="P61" s="3" t="str">
        <v>26年合计</v>
      </c>
      <c r="Q61" s="4" t="str">
        <v>26年销量占比</v>
      </c>
      <c r="R61" s="1" t="str">
        <v>国补前GSV</v>
      </c>
      <c r="S61" s="1" t="str">
        <v>国补后GSV</v>
      </c>
      <c r="T61" s="1"/>
      <c r="U61" s="1"/>
    </row>
    <row customHeight="true" ht="19" r="62">
      <c r="A62" s="8" t="str">
        <v>TB92</v>
      </c>
      <c r="B62" s="8" t="str">
        <v>ABS
白0.42/灰0.09/粉0.23/蓝0.26</v>
      </c>
      <c r="C62" s="31">
        <v>399</v>
      </c>
      <c r="D62" s="16">
        <v>27174</v>
      </c>
      <c r="E62" s="16">
        <v>23000</v>
      </c>
      <c r="F62" s="16">
        <v>25000</v>
      </c>
      <c r="G62" s="16">
        <v>20000</v>
      </c>
      <c r="H62" s="16">
        <v>23000</v>
      </c>
      <c r="I62" s="16">
        <v>20000</v>
      </c>
      <c r="J62" s="16">
        <v>15000</v>
      </c>
      <c r="K62" s="16">
        <v>19000</v>
      </c>
      <c r="L62" s="16">
        <v>20000</v>
      </c>
      <c r="M62" s="16">
        <v>25000</v>
      </c>
      <c r="N62" s="16">
        <v>22000</v>
      </c>
      <c r="O62" s="16">
        <v>20000</v>
      </c>
      <c r="P62" s="32">
        <f>SUM(D62:O62)</f>
      </c>
      <c r="Q62" s="9">
        <f>P62/$P$73</f>
      </c>
      <c r="R62" s="1">
        <f>C62*P62</f>
      </c>
      <c r="S62" s="7">
        <f>R62*0.864</f>
      </c>
      <c r="T62" s="44"/>
      <c r="U62" s="7"/>
    </row>
    <row customHeight="true" ht="19" r="63">
      <c r="A63" s="8" t="str">
        <v>TB92</v>
      </c>
      <c r="B63" s="8" t="str">
        <v>透明</v>
      </c>
      <c r="C63" s="31">
        <v>459</v>
      </c>
      <c r="D63" s="16">
        <v>21146</v>
      </c>
      <c r="E63" s="16">
        <v>25000</v>
      </c>
      <c r="F63" s="16">
        <v>22000</v>
      </c>
      <c r="G63" s="16">
        <v>20000</v>
      </c>
      <c r="H63" s="16">
        <v>28000</v>
      </c>
      <c r="I63" s="16">
        <v>25000</v>
      </c>
      <c r="J63" s="16">
        <v>17000</v>
      </c>
      <c r="K63" s="16">
        <v>20000</v>
      </c>
      <c r="L63" s="16">
        <v>22000</v>
      </c>
      <c r="M63" s="16">
        <v>27000</v>
      </c>
      <c r="N63" s="16">
        <v>23000</v>
      </c>
      <c r="O63" s="16">
        <v>20000</v>
      </c>
      <c r="P63" s="32">
        <f>SUM(D63:O63)</f>
      </c>
      <c r="Q63" s="9">
        <f>P63/$P$73</f>
      </c>
      <c r="R63" s="1">
        <f>C63*P63</f>
      </c>
      <c r="S63" s="7">
        <f>R63*0.864</f>
      </c>
      <c r="T63" s="44"/>
      <c r="U63" s="7"/>
    </row>
    <row customHeight="true" ht="19" r="64">
      <c r="A64" s="8" t="str">
        <v>TB92</v>
      </c>
      <c r="B64" s="8" t="str">
        <v>铝合金
银0.57/灰0.05/粉0.22/蓝0.16</v>
      </c>
      <c r="C64" s="33">
        <v>499</v>
      </c>
      <c r="D64" s="45">
        <v>10420</v>
      </c>
      <c r="E64" s="45">
        <v>12000</v>
      </c>
      <c r="F64" s="45">
        <v>14000</v>
      </c>
      <c r="G64" s="45">
        <v>10000</v>
      </c>
      <c r="H64" s="45">
        <v>15000</v>
      </c>
      <c r="I64" s="45">
        <v>12000</v>
      </c>
      <c r="J64" s="45">
        <v>7000</v>
      </c>
      <c r="K64" s="45">
        <v>9000</v>
      </c>
      <c r="L64" s="45">
        <v>10000</v>
      </c>
      <c r="M64" s="16">
        <v>12000</v>
      </c>
      <c r="N64" s="16">
        <v>8000</v>
      </c>
      <c r="O64" s="16">
        <v>8000</v>
      </c>
      <c r="P64" s="32">
        <f>SUM(D64:O64)</f>
      </c>
      <c r="Q64" s="9">
        <f>P64/$P$73</f>
      </c>
      <c r="R64" s="1">
        <f>C64*P64</f>
      </c>
      <c r="S64" s="7">
        <f>R64*0.864</f>
      </c>
      <c r="T64" s="44"/>
      <c r="U64" s="7"/>
    </row>
    <row customHeight="true" ht="19" r="65">
      <c r="A65" s="8" t="str">
        <v>TB92</v>
      </c>
      <c r="B65" s="8" t="str">
        <v>不锈钢</v>
      </c>
      <c r="C65" s="31">
        <v>599</v>
      </c>
      <c r="D65" s="16">
        <v>348</v>
      </c>
      <c r="E65" s="16">
        <v>0</v>
      </c>
      <c r="F65" s="16">
        <v>2000</v>
      </c>
      <c r="G65" s="16">
        <v>1700</v>
      </c>
      <c r="H65" s="16">
        <v>2000</v>
      </c>
      <c r="I65" s="16">
        <v>1800</v>
      </c>
      <c r="J65" s="16">
        <v>1500</v>
      </c>
      <c r="K65" s="16">
        <v>1800</v>
      </c>
      <c r="L65" s="16">
        <v>2000</v>
      </c>
      <c r="M65" s="16">
        <v>2800</v>
      </c>
      <c r="N65" s="16">
        <v>2500</v>
      </c>
      <c r="O65" s="16">
        <v>2500</v>
      </c>
      <c r="P65" s="32">
        <f>SUM(D65:O65)</f>
      </c>
      <c r="Q65" s="9">
        <f>P65/$P$73</f>
      </c>
      <c r="R65" s="1">
        <f>C65*P65</f>
      </c>
      <c r="S65" s="7">
        <f>R65*0.864</f>
      </c>
      <c r="T65" s="44"/>
      <c r="U65" s="7"/>
    </row>
    <row customHeight="true" ht="19" r="66">
      <c r="A66" s="8" t="str">
        <v>TB92</v>
      </c>
      <c r="B66" s="8" t="str">
        <v>香槟金新年礼盒</v>
      </c>
      <c r="C66" s="31">
        <v>539</v>
      </c>
      <c r="D66" s="45">
        <v>1766</v>
      </c>
      <c r="E66" s="45">
        <v>2000</v>
      </c>
      <c r="F66" s="45">
        <v>2000</v>
      </c>
      <c r="G66" s="45">
        <v>1000</v>
      </c>
      <c r="H66" s="45"/>
      <c r="I66" s="45"/>
      <c r="J66" s="45"/>
      <c r="K66" s="45"/>
      <c r="L66" s="45"/>
      <c r="M66" s="16"/>
      <c r="N66" s="16"/>
      <c r="O66" s="16"/>
      <c r="P66" s="32">
        <f>SUM(D66:O66)</f>
      </c>
      <c r="Q66" s="9">
        <f>P66/$P$73</f>
      </c>
      <c r="R66" s="1">
        <f>C66*P66</f>
      </c>
      <c r="S66" s="7">
        <f>R66*0.864</f>
      </c>
      <c r="T66" s="44"/>
      <c r="U66" s="7"/>
    </row>
    <row customHeight="true" ht="19" r="67">
      <c r="A67" s="8" t="str">
        <v>TB92</v>
      </c>
      <c r="B67" s="8" t="str">
        <v>钛金属</v>
      </c>
      <c r="C67" s="31">
        <v>799</v>
      </c>
      <c r="D67" s="45"/>
      <c r="E67" s="45"/>
      <c r="F67" s="45">
        <v>500</v>
      </c>
      <c r="G67" s="45">
        <v>500</v>
      </c>
      <c r="H67" s="45">
        <v>500</v>
      </c>
      <c r="I67" s="45">
        <v>500</v>
      </c>
      <c r="J67" s="45"/>
      <c r="K67" s="45"/>
      <c r="L67" s="45"/>
      <c r="M67" s="45"/>
      <c r="N67" s="45"/>
      <c r="O67" s="45"/>
      <c r="P67" s="32">
        <f>SUM(D67:O67)</f>
      </c>
      <c r="Q67" s="9">
        <f>P67/$P$73</f>
      </c>
      <c r="R67" s="1">
        <f>C67*P67</f>
      </c>
      <c r="S67" s="7">
        <f>R67*0.864</f>
      </c>
      <c r="T67" s="44"/>
      <c r="U67" s="7"/>
    </row>
    <row customHeight="true" ht="19" r="68">
      <c r="A68" s="8" t="str">
        <v>TB31</v>
      </c>
      <c r="B68" s="8" t="str">
        <v>SE</v>
      </c>
      <c r="C68" s="31">
        <v>259</v>
      </c>
      <c r="D68" s="16">
        <v>63784</v>
      </c>
      <c r="E68" s="16">
        <v>20000</v>
      </c>
      <c r="F68" s="16">
        <v>22000</v>
      </c>
      <c r="G68" s="16">
        <v>20000</v>
      </c>
      <c r="H68" s="45">
        <v>25000</v>
      </c>
      <c r="I68" s="16">
        <v>23000</v>
      </c>
      <c r="J68" s="16">
        <v>18000</v>
      </c>
      <c r="K68" s="16">
        <v>5000</v>
      </c>
      <c r="L68" s="16"/>
      <c r="M68" s="16"/>
      <c r="N68" s="16"/>
      <c r="O68" s="16"/>
      <c r="P68" s="32">
        <f>SUM(D68:O68)</f>
      </c>
      <c r="Q68" s="9">
        <f>P68/$P$73</f>
      </c>
      <c r="R68" s="1">
        <f>C68*P68</f>
      </c>
      <c r="S68" s="7">
        <f>R68*0.864</f>
      </c>
      <c r="T68" s="44"/>
      <c r="U68" s="7"/>
    </row>
    <row customHeight="true" ht="19" r="69">
      <c r="A69" s="8" t="str">
        <v>TB32A</v>
      </c>
      <c r="B69" s="8" t="str" xml:space="preserve">
        <v>i2 e </v>
      </c>
      <c r="C69" s="33">
        <v>359</v>
      </c>
      <c r="D69" s="45"/>
      <c r="E69" s="45"/>
      <c r="F69" s="45"/>
      <c r="G69" s="45"/>
      <c r="H69" s="43"/>
      <c r="I69" s="43"/>
      <c r="J69" s="43"/>
      <c r="K69" s="43">
        <v>30000</v>
      </c>
      <c r="L69" s="43">
        <v>27000</v>
      </c>
      <c r="M69" s="43">
        <v>35000</v>
      </c>
      <c r="N69" s="43">
        <v>30000</v>
      </c>
      <c r="O69" s="43">
        <v>25000</v>
      </c>
      <c r="P69" s="32">
        <f>SUM(D69:O69)</f>
      </c>
      <c r="Q69" s="9">
        <f>P69/$P$73</f>
      </c>
      <c r="R69" s="1">
        <f>C69*P69</f>
      </c>
      <c r="S69" s="7">
        <f>R69*0.864</f>
      </c>
      <c r="T69" s="44"/>
      <c r="U69" s="7"/>
    </row>
    <row customHeight="true" ht="19" r="70">
      <c r="A70" s="8" t="str">
        <v>TC41</v>
      </c>
      <c r="B70" s="8" t="str">
        <v>儿童K1</v>
      </c>
      <c r="C70" s="31">
        <v>359</v>
      </c>
      <c r="D70" s="16"/>
      <c r="E70" s="16"/>
      <c r="F70" s="16"/>
      <c r="G70" s="48"/>
      <c r="H70" s="16">
        <v>10000</v>
      </c>
      <c r="I70" s="16">
        <v>8800</v>
      </c>
      <c r="J70" s="16">
        <v>6000</v>
      </c>
      <c r="K70" s="16">
        <v>7200</v>
      </c>
      <c r="L70" s="16">
        <v>8800</v>
      </c>
      <c r="M70" s="16">
        <v>12000</v>
      </c>
      <c r="N70" s="16">
        <v>8000</v>
      </c>
      <c r="O70" s="16">
        <v>6000</v>
      </c>
      <c r="P70" s="47">
        <f>SUM(D70:O70)</f>
      </c>
      <c r="Q70" s="9">
        <f>P70/$P$73</f>
      </c>
      <c r="R70" s="1">
        <f>C70*P70</f>
      </c>
      <c r="S70" s="7">
        <f>R70*0.864</f>
      </c>
      <c r="T70" s="44"/>
      <c r="U70" s="7"/>
    </row>
    <row customHeight="true" ht="19" r="71">
      <c r="A71" s="8" t="str">
        <v>TC51</v>
      </c>
      <c r="B71" s="8" t="str">
        <v>儿童K1 PRO</v>
      </c>
      <c r="C71" s="31">
        <v>569</v>
      </c>
      <c r="D71" s="16"/>
      <c r="E71" s="16"/>
      <c r="F71" s="16"/>
      <c r="G71" s="48"/>
      <c r="H71" s="16">
        <v>15000</v>
      </c>
      <c r="I71" s="16">
        <v>13200</v>
      </c>
      <c r="J71" s="16">
        <v>9000</v>
      </c>
      <c r="K71" s="16">
        <v>10800</v>
      </c>
      <c r="L71" s="16">
        <v>13200</v>
      </c>
      <c r="M71" s="16">
        <v>18000</v>
      </c>
      <c r="N71" s="16">
        <v>12000</v>
      </c>
      <c r="O71" s="16">
        <v>9000</v>
      </c>
      <c r="P71" s="47">
        <f>SUM(D71:O71)</f>
      </c>
      <c r="Q71" s="9">
        <f>P71/$P$73</f>
      </c>
      <c r="R71" s="1">
        <f>C71*P71</f>
      </c>
      <c r="S71" s="7">
        <f>R71*0.864</f>
      </c>
      <c r="T71" s="44"/>
      <c r="U71" s="7"/>
    </row>
    <row customHeight="true" ht="19" r="72">
      <c r="A72" s="8" t="str">
        <v>TB92B</v>
      </c>
      <c r="B72" s="8" t="str">
        <v>i2 max</v>
      </c>
      <c r="C72" s="31">
        <v>449</v>
      </c>
      <c r="D72" s="16"/>
      <c r="E72" s="16"/>
      <c r="F72" s="16"/>
      <c r="G72" s="16"/>
      <c r="H72" s="49"/>
      <c r="I72" s="49"/>
      <c r="J72" s="49">
        <v>2000</v>
      </c>
      <c r="K72" s="49">
        <v>10000</v>
      </c>
      <c r="L72" s="49">
        <v>12000</v>
      </c>
      <c r="M72" s="49">
        <v>15000</v>
      </c>
      <c r="N72" s="49">
        <v>12000</v>
      </c>
      <c r="O72" s="49">
        <v>10000</v>
      </c>
      <c r="P72" s="32">
        <f>SUM(D72:O72)</f>
      </c>
      <c r="Q72" s="9">
        <f>P72/$P$73</f>
      </c>
      <c r="R72" s="1">
        <f>C72*P72</f>
      </c>
      <c r="S72" s="7">
        <f>R72*0.864</f>
      </c>
      <c r="T72" s="44"/>
      <c r="U72" s="7"/>
    </row>
    <row customHeight="true" ht="19" r="73">
      <c r="A73" s="11"/>
      <c r="B73" s="11" t="str">
        <v>累计</v>
      </c>
      <c r="C73" s="11"/>
      <c r="D73" s="12">
        <f>SUM(D62:D72)</f>
      </c>
      <c r="E73" s="12">
        <f>SUM(E62:E72)</f>
      </c>
      <c r="F73" s="12">
        <f>SUM(F62:F72)</f>
      </c>
      <c r="G73" s="12">
        <f>SUM(G62:G72)</f>
      </c>
      <c r="H73" s="12">
        <f>SUM(H62:H72)</f>
      </c>
      <c r="I73" s="12">
        <f>SUM(I62:I72)</f>
      </c>
      <c r="J73" s="12">
        <f>SUM(J62:J72)</f>
      </c>
      <c r="K73" s="12">
        <f>SUM(K62:K72)</f>
      </c>
      <c r="L73" s="12">
        <f>SUM(L62:L72)</f>
      </c>
      <c r="M73" s="12">
        <f>SUM(M62:M72)</f>
      </c>
      <c r="N73" s="12">
        <f>SUM(N62:N72)</f>
      </c>
      <c r="O73" s="12">
        <f>SUM(O62:O72)</f>
      </c>
      <c r="P73" s="12">
        <f>SUM(P62:P72)</f>
      </c>
      <c r="Q73" s="42">
        <f>SUM(Q62:Q72)</f>
      </c>
      <c r="R73" s="20">
        <f>SUM(R62:R72)</f>
      </c>
      <c r="S73" s="20">
        <f>SUM(S62:S72)</f>
      </c>
      <c r="T73" s="20"/>
      <c r="U73" s="7"/>
    </row>
    <row customHeight="true" ht="19" r="74">
      <c r="A74" s="22"/>
      <c r="B74" s="22"/>
      <c r="C74" s="24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2"/>
      <c r="Q74" s="25"/>
      <c r="S74" s="1">
        <f>'26年全渠道汇总'!O8</f>
      </c>
      <c r="T74" s="1"/>
      <c r="U74" s="1"/>
    </row>
    <row customHeight="true" ht="19" r="75">
      <c r="A75" s="2" t="str">
        <v>系列汇总</v>
      </c>
      <c r="B75" s="8" t="str">
        <v>/</v>
      </c>
      <c r="C75" s="8"/>
      <c r="D75" s="27" t="str">
        <v>1月</v>
      </c>
      <c r="E75" s="27" t="str">
        <v>2月</v>
      </c>
      <c r="F75" s="27" t="str">
        <v>3月</v>
      </c>
      <c r="G75" s="27" t="str">
        <v>4月</v>
      </c>
      <c r="H75" s="27" t="str">
        <v>5月</v>
      </c>
      <c r="I75" s="27" t="str">
        <v>6月</v>
      </c>
      <c r="J75" s="27" t="str">
        <v>7月</v>
      </c>
      <c r="K75" s="27" t="str">
        <v>8月</v>
      </c>
      <c r="L75" s="27" t="str">
        <v>9月</v>
      </c>
      <c r="M75" s="27" t="str">
        <v>10月</v>
      </c>
      <c r="N75" s="27" t="str">
        <v>11月</v>
      </c>
      <c r="O75" s="27" t="str">
        <v>12月</v>
      </c>
      <c r="P75" s="28" t="str">
        <v>26年合计</v>
      </c>
      <c r="Q75" s="29" t="str">
        <v>26年销量占比</v>
      </c>
      <c r="S75" s="7">
        <f>S74-S73</f>
      </c>
    </row>
    <row customHeight="true" ht="19" r="76">
      <c r="A76" s="8" t="str">
        <v>TB92</v>
      </c>
      <c r="B76" s="8"/>
      <c r="C76" s="8"/>
      <c r="D76" s="16">
        <f>SUM(D62:D67)</f>
      </c>
      <c r="E76" s="16">
        <f>SUM(E62:E67)</f>
      </c>
      <c r="F76" s="16">
        <f>SUM(F62:F67)</f>
      </c>
      <c r="G76" s="16">
        <f>SUM(G62:G67)</f>
      </c>
      <c r="H76" s="16">
        <f>SUM(H62:H67)</f>
      </c>
      <c r="I76" s="16">
        <f>SUM(I62:I67)</f>
      </c>
      <c r="J76" s="16">
        <f>SUM(J62:J67)</f>
      </c>
      <c r="K76" s="16">
        <f>SUM(K62:K67)</f>
      </c>
      <c r="L76" s="16">
        <f>SUM(L62:L67)</f>
      </c>
      <c r="M76" s="16">
        <f>SUM(M62:M67)</f>
      </c>
      <c r="N76" s="16">
        <f>SUM(N62:N67)</f>
      </c>
      <c r="O76" s="16">
        <f>SUM(O62:O67)</f>
      </c>
      <c r="P76" s="41">
        <f>SUM(D76:O76)</f>
      </c>
      <c r="Q76" s="40">
        <f>P76/$P$82</f>
      </c>
    </row>
    <row customHeight="true" ht="19" r="77">
      <c r="A77" s="8" t="str">
        <v>TB31</v>
      </c>
      <c r="B77" s="8"/>
      <c r="C77" s="8"/>
      <c r="D77" s="16">
        <f>SUM(D68)</f>
      </c>
      <c r="E77" s="16">
        <f>SUM(E68)</f>
      </c>
      <c r="F77" s="16">
        <f>SUM(F68)</f>
      </c>
      <c r="G77" s="16">
        <f>SUM(G68)</f>
      </c>
      <c r="H77" s="16">
        <f>SUM(H68)</f>
      </c>
      <c r="I77" s="16">
        <f>SUM(I68)</f>
      </c>
      <c r="J77" s="16">
        <f>SUM(J68)</f>
      </c>
      <c r="K77" s="16">
        <f>SUM(K68)</f>
      </c>
      <c r="L77" s="16">
        <f>SUM(L68)</f>
      </c>
      <c r="M77" s="16">
        <f>SUM(M68)</f>
      </c>
      <c r="N77" s="16">
        <f>SUM(N68)</f>
      </c>
      <c r="O77" s="16">
        <f>SUM(O68)</f>
      </c>
      <c r="P77" s="41">
        <f>SUM(D77:O77)</f>
      </c>
      <c r="Q77" s="40">
        <f>P77/$P$82</f>
      </c>
    </row>
    <row customHeight="true" ht="19" r="78">
      <c r="A78" s="8" t="str">
        <v>TB32A</v>
      </c>
      <c r="B78" s="8"/>
      <c r="C78" s="8"/>
      <c r="D78" s="16">
        <f>SUM(D69)</f>
      </c>
      <c r="E78" s="16">
        <f>SUM(E69)</f>
      </c>
      <c r="F78" s="16">
        <f>SUM(F69)</f>
      </c>
      <c r="G78" s="16">
        <f>SUM(G69)</f>
      </c>
      <c r="H78" s="16">
        <f>SUM(H69)</f>
      </c>
      <c r="I78" s="16">
        <f>SUM(I69)</f>
      </c>
      <c r="J78" s="16">
        <f>SUM(J69)</f>
      </c>
      <c r="K78" s="16">
        <f>SUM(K69)</f>
      </c>
      <c r="L78" s="16">
        <f>SUM(L69)</f>
      </c>
      <c r="M78" s="16">
        <f>SUM(M69)</f>
      </c>
      <c r="N78" s="16">
        <f>SUM(N69)</f>
      </c>
      <c r="O78" s="16">
        <f>SUM(O69)</f>
      </c>
      <c r="P78" s="41">
        <f>SUM(D78:O78)</f>
      </c>
      <c r="Q78" s="40">
        <f>P78/$P$82</f>
      </c>
    </row>
    <row customHeight="true" ht="19" r="79">
      <c r="A79" s="8" t="str">
        <v>TC41</v>
      </c>
      <c r="B79" s="8"/>
      <c r="C79" s="8"/>
      <c r="D79" s="16">
        <f>D70</f>
      </c>
      <c r="E79" s="16">
        <f>E70</f>
      </c>
      <c r="F79" s="16">
        <f>F70</f>
      </c>
      <c r="G79" s="16">
        <f>G70</f>
      </c>
      <c r="H79" s="16">
        <f>H70</f>
      </c>
      <c r="I79" s="16">
        <f>I70</f>
      </c>
      <c r="J79" s="16">
        <f>J70</f>
      </c>
      <c r="K79" s="16">
        <f>K70</f>
      </c>
      <c r="L79" s="16">
        <f>L70</f>
      </c>
      <c r="M79" s="16">
        <f>M70</f>
      </c>
      <c r="N79" s="16">
        <f>N70</f>
      </c>
      <c r="O79" s="16">
        <f>O70</f>
      </c>
      <c r="P79" s="41">
        <f>SUM(D79:O79)</f>
      </c>
      <c r="Q79" s="40">
        <f>P79/$P$82</f>
      </c>
    </row>
    <row customHeight="true" ht="19" r="80">
      <c r="A80" s="8" t="str">
        <v>TC51</v>
      </c>
      <c r="B80" s="8"/>
      <c r="C80" s="8"/>
      <c r="D80" s="16">
        <f>D70+D71</f>
      </c>
      <c r="E80" s="16">
        <f>E70+E71</f>
      </c>
      <c r="F80" s="16">
        <f>F70+F71</f>
      </c>
      <c r="G80" s="16">
        <f>G70+G71</f>
      </c>
      <c r="H80" s="16">
        <f>H70+H71</f>
      </c>
      <c r="I80" s="16">
        <f>I70+I71</f>
      </c>
      <c r="J80" s="16">
        <f>J70+J71</f>
      </c>
      <c r="K80" s="16">
        <f>K70+K71</f>
      </c>
      <c r="L80" s="16">
        <f>L70+L71</f>
      </c>
      <c r="M80" s="16">
        <f>M70+M71</f>
      </c>
      <c r="N80" s="16">
        <f>N70+N71</f>
      </c>
      <c r="O80" s="16">
        <f>O70+O71</f>
      </c>
      <c r="P80" s="41">
        <f>SUM(D80:O80)</f>
      </c>
      <c r="Q80" s="40">
        <f>P80/$P$82</f>
      </c>
    </row>
    <row customHeight="true" ht="19" r="81">
      <c r="A81" s="8" t="str">
        <v>TB92B</v>
      </c>
      <c r="B81" s="8"/>
      <c r="C81" s="8"/>
      <c r="D81" s="16">
        <f>D72</f>
      </c>
      <c r="E81" s="16">
        <f>E72</f>
      </c>
      <c r="F81" s="16">
        <f>F72</f>
      </c>
      <c r="G81" s="16">
        <f>G72</f>
      </c>
      <c r="H81" s="16">
        <f>H72</f>
      </c>
      <c r="I81" s="16">
        <f>I72</f>
      </c>
      <c r="J81" s="16">
        <f>J72</f>
      </c>
      <c r="K81" s="16">
        <f>K72</f>
      </c>
      <c r="L81" s="16">
        <f>L72</f>
      </c>
      <c r="M81" s="16">
        <f>M72</f>
      </c>
      <c r="N81" s="16">
        <f>N72</f>
      </c>
      <c r="O81" s="16">
        <f>O72</f>
      </c>
      <c r="P81" s="41">
        <f>SUM(D81:O81)</f>
      </c>
      <c r="Q81" s="40">
        <f>P81/$P$82</f>
      </c>
    </row>
    <row customHeight="true" ht="19" r="82">
      <c r="A82" s="11" t="str">
        <v>累计</v>
      </c>
      <c r="B82" s="11"/>
      <c r="C82" s="11"/>
      <c r="D82" s="12">
        <f>SUM(D76:D80)</f>
      </c>
      <c r="E82" s="12">
        <f>SUM(E76:E80)</f>
      </c>
      <c r="F82" s="12">
        <f>SUM(F76:F80)</f>
      </c>
      <c r="G82" s="12">
        <f>SUM(G76:G80)</f>
      </c>
      <c r="H82" s="12">
        <f>SUM(H76:H80)</f>
      </c>
      <c r="I82" s="12">
        <f>SUM(I76:I80)</f>
      </c>
      <c r="J82" s="12">
        <f>SUM(J76:J80)</f>
      </c>
      <c r="K82" s="12">
        <f>SUM(K76:K80)</f>
      </c>
      <c r="L82" s="12">
        <f>SUM(L76:L80)</f>
      </c>
      <c r="M82" s="12">
        <f>SUM(M76:M80)</f>
      </c>
      <c r="N82" s="12">
        <f>SUM(N76:N80)</f>
      </c>
      <c r="O82" s="12">
        <f>SUM(O76:O80)</f>
      </c>
      <c r="P82" s="11">
        <f>SUM(P76:P81)</f>
      </c>
      <c r="Q82" s="11">
        <f>SUM(Q76:Q81)</f>
      </c>
    </row>
    <row customHeight="true" ht="19" r="83"/>
    <row customHeight="true" ht="19" r="84"/>
    <row customHeight="true" hidden="true" ht="19" r="85">
      <c r="A85" s="14" t="str">
        <v>GTM 财经版-刷新2月26日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</row>
    <row customHeight="true" hidden="true" ht="19" r="86">
      <c r="A86" s="36" t="str">
        <v>货量/支</v>
      </c>
      <c r="B86" s="36"/>
      <c r="C86" s="35" t="str">
        <v>退货率</v>
      </c>
      <c r="D86" s="35">
        <v>0.1827</v>
      </c>
      <c r="E86" s="35">
        <v>0.1827</v>
      </c>
      <c r="F86" s="35">
        <v>0.1827</v>
      </c>
      <c r="G86" s="35">
        <v>0.1827</v>
      </c>
      <c r="H86" s="35">
        <v>0.1827</v>
      </c>
      <c r="I86" s="35">
        <v>0.1827</v>
      </c>
      <c r="J86" s="35">
        <v>0.1827</v>
      </c>
      <c r="K86" s="35">
        <v>0.1827</v>
      </c>
      <c r="L86" s="35">
        <v>0.1827</v>
      </c>
      <c r="M86" s="35">
        <v>0.1827</v>
      </c>
      <c r="N86" s="35">
        <v>0.1827</v>
      </c>
      <c r="O86" s="35">
        <v>0.1827</v>
      </c>
      <c r="P86" s="37"/>
      <c r="Q86" s="9">
        <v>0.136</v>
      </c>
      <c r="R86" s="15"/>
      <c r="S86" s="15"/>
      <c r="T86" s="15"/>
      <c r="U86" s="15"/>
    </row>
    <row customHeight="true" hidden="true" ht="19" r="87">
      <c r="A87" s="2" t="str">
        <v>系列</v>
      </c>
      <c r="B87" s="2" t="str">
        <v>SPU</v>
      </c>
      <c r="C87" s="11" t="str">
        <v>单价</v>
      </c>
      <c r="D87" s="11" t="str">
        <v>1月</v>
      </c>
      <c r="E87" s="11" t="str">
        <v>2月</v>
      </c>
      <c r="F87" s="11" t="str">
        <v>3月</v>
      </c>
      <c r="G87" s="11" t="str">
        <v>4月</v>
      </c>
      <c r="H87" s="11" t="str">
        <v>5月</v>
      </c>
      <c r="I87" s="11" t="str">
        <v>6月</v>
      </c>
      <c r="J87" s="11" t="str">
        <v>7月</v>
      </c>
      <c r="K87" s="11" t="str">
        <v>8月</v>
      </c>
      <c r="L87" s="11" t="str">
        <v>9月</v>
      </c>
      <c r="M87" s="11" t="str">
        <v>10月</v>
      </c>
      <c r="N87" s="11" t="str">
        <v>11月</v>
      </c>
      <c r="O87" s="11" t="str">
        <v>12月</v>
      </c>
      <c r="P87" s="38" t="str">
        <v>国补后GMV</v>
      </c>
      <c r="Q87" s="4" t="str">
        <v>26年销量占比</v>
      </c>
      <c r="R87" s="1"/>
      <c r="S87" s="1"/>
      <c r="T87" s="1"/>
      <c r="U87" s="1"/>
    </row>
    <row customHeight="true" hidden="true" ht="19" r="88">
      <c r="A88" s="8" t="str">
        <v>tb92</v>
      </c>
      <c r="B88" s="8" t="str">
        <v>ABS
白0.42/灰0.09/粉0.23/蓝0.26</v>
      </c>
      <c r="C88" s="31">
        <v>399</v>
      </c>
      <c r="D88" s="16">
        <f>D62*$C62*(1-$Q$86)/(1-D$86)</f>
      </c>
      <c r="E88" s="16">
        <f>E62*$C62*(1-$Q$86)/(1-E$86)</f>
      </c>
      <c r="F88" s="16">
        <f>F62*$C62*(1-$Q$86)/(1-F$86)</f>
      </c>
      <c r="G88" s="16">
        <f>G62*$C62*(1-$Q$86)/(1-G$86)</f>
      </c>
      <c r="H88" s="16">
        <f>H62*$C62*(1-$Q$86)/(1-H$86)</f>
      </c>
      <c r="I88" s="16">
        <f>I62*$C62*(1-$Q$86)/(1-I$86)</f>
      </c>
      <c r="J88" s="16">
        <f>J62*$C62*(1-$Q$86)/(1-J$86)</f>
      </c>
      <c r="K88" s="16">
        <f>K62*$C62*(1-$Q$86)/(1-K$86)</f>
      </c>
      <c r="L88" s="16">
        <f>L62*$C62*(1-$Q$86)/(1-L$86)</f>
      </c>
      <c r="M88" s="16">
        <f>M62*$C62*(1-$Q$86)/(1-M$86)</f>
      </c>
      <c r="N88" s="16">
        <f>N62*$C62*(1-$Q$86)/(1-N$86)</f>
      </c>
      <c r="O88" s="16">
        <f>O62*$C62*(1-$Q$86)/(1-O$86)</f>
      </c>
      <c r="P88" s="32">
        <f>SUM(D88:O88)</f>
      </c>
      <c r="Q88" s="9">
        <f>P88/$P$97</f>
      </c>
      <c r="R88" s="1"/>
      <c r="S88" s="7"/>
      <c r="T88" s="7"/>
      <c r="U88" s="7"/>
    </row>
    <row customHeight="true" hidden="true" ht="19" r="89">
      <c r="A89" s="8" t="str">
        <v>tb92</v>
      </c>
      <c r="B89" s="8" t="str">
        <v>透明</v>
      </c>
      <c r="C89" s="31">
        <v>459</v>
      </c>
      <c r="D89" s="16">
        <f>D63*$C63*(1-$Q$86)/(1-D$86)</f>
      </c>
      <c r="E89" s="16">
        <f>E63*$C63*(1-$Q$86)/(1-E$86)</f>
      </c>
      <c r="F89" s="16">
        <f>F63*$C63*(1-$Q$86)/(1-F$86)</f>
      </c>
      <c r="G89" s="16">
        <f>G63*$C63*(1-$Q$86)/(1-G$86)</f>
      </c>
      <c r="H89" s="16">
        <f>H63*$C63*(1-$Q$86)/(1-H$86)</f>
      </c>
      <c r="I89" s="16">
        <f>I63*$C63*(1-$Q$86)/(1-I$86)</f>
      </c>
      <c r="J89" s="16">
        <f>J63*$C63*(1-$Q$86)/(1-J$86)</f>
      </c>
      <c r="K89" s="16">
        <f>K63*$C63*(1-$Q$86)/(1-K$86)</f>
      </c>
      <c r="L89" s="16">
        <f>L63*$C63*(1-$Q$86)/(1-L$86)</f>
      </c>
      <c r="M89" s="16">
        <f>M63*$C63*(1-$Q$86)/(1-M$86)</f>
      </c>
      <c r="N89" s="16">
        <f>N63*$C63*(1-$Q$86)/(1-N$86)</f>
      </c>
      <c r="O89" s="16">
        <f>O63*$C63*(1-$Q$86)/(1-O$86)</f>
      </c>
      <c r="P89" s="32">
        <f>SUM(D89:O89)</f>
      </c>
      <c r="Q89" s="9">
        <f>P89/$P$97</f>
      </c>
      <c r="R89" s="1"/>
      <c r="S89" s="7"/>
      <c r="T89" s="7"/>
      <c r="U89" s="7"/>
    </row>
    <row customHeight="true" hidden="true" ht="19" r="90">
      <c r="A90" s="8" t="str">
        <v>tb92</v>
      </c>
      <c r="B90" s="8" t="str">
        <v>铝合金
银0.57/灰0.05/粉0.22/蓝0.16</v>
      </c>
      <c r="C90" s="33">
        <v>499</v>
      </c>
      <c r="D90" s="16">
        <f>D64*$C64*(1-$Q$86)/(1-D$86)</f>
      </c>
      <c r="E90" s="16">
        <f>E64*$C64*(1-$Q$86)/(1-E$86)</f>
      </c>
      <c r="F90" s="16">
        <f>F64*$C64*(1-$Q$86)/(1-F$86)</f>
      </c>
      <c r="G90" s="16">
        <f>G64*$C64*(1-$Q$86)/(1-G$86)</f>
      </c>
      <c r="H90" s="16">
        <f>H64*$C64*(1-$Q$86)/(1-H$86)</f>
      </c>
      <c r="I90" s="16">
        <f>I64*$C64*(1-$Q$86)/(1-I$86)</f>
      </c>
      <c r="J90" s="16">
        <f>J64*$C64*(1-$Q$86)/(1-J$86)</f>
      </c>
      <c r="K90" s="16">
        <f>K64*$C64*(1-$Q$86)/(1-K$86)</f>
      </c>
      <c r="L90" s="16">
        <f>L64*$C64*(1-$Q$86)/(1-L$86)</f>
      </c>
      <c r="M90" s="16">
        <f>M64*$C64*(1-$Q$86)/(1-M$86)</f>
      </c>
      <c r="N90" s="16">
        <f>N64*$C64*(1-$Q$86)/(1-N$86)</f>
      </c>
      <c r="O90" s="16">
        <f>O64*$C64*(1-$Q$86)/(1-O$86)</f>
      </c>
      <c r="P90" s="32">
        <f>SUM(D90:O90)</f>
      </c>
      <c r="Q90" s="9">
        <f>P90/$P$97</f>
      </c>
      <c r="R90" s="1"/>
      <c r="S90" s="7"/>
      <c r="T90" s="7"/>
      <c r="U90" s="7"/>
    </row>
    <row customHeight="true" hidden="true" ht="19" r="91">
      <c r="A91" s="8" t="str">
        <v>tb92</v>
      </c>
      <c r="B91" s="8" t="str">
        <v>不锈钢</v>
      </c>
      <c r="C91" s="31">
        <v>599</v>
      </c>
      <c r="D91" s="16">
        <f>D65*$C65*(1-$Q$86)/(1-D$86)</f>
      </c>
      <c r="E91" s="16">
        <f>E65*$C65*(1-$Q$86)/(1-E$86)</f>
      </c>
      <c r="F91" s="16">
        <f>F65*$C65*(1-$Q$86)/(1-F$86)</f>
      </c>
      <c r="G91" s="16">
        <f>G65*$C65*(1-$Q$86)/(1-G$86)</f>
      </c>
      <c r="H91" s="16">
        <f>H65*$C65*(1-$Q$86)/(1-H$86)</f>
      </c>
      <c r="I91" s="16">
        <f>I65*$C65*(1-$Q$86)/(1-I$86)</f>
      </c>
      <c r="J91" s="16">
        <f>J65*$C65*(1-$Q$86)/(1-J$86)</f>
      </c>
      <c r="K91" s="16">
        <f>K65*$C65*(1-$Q$86)/(1-K$86)</f>
      </c>
      <c r="L91" s="16">
        <f>L65*$C65*(1-$Q$86)/(1-L$86)</f>
      </c>
      <c r="M91" s="16">
        <f>M65*$C65*(1-$Q$86)/(1-M$86)</f>
      </c>
      <c r="N91" s="16">
        <f>N65*$C65*(1-$Q$86)/(1-N$86)</f>
      </c>
      <c r="O91" s="16">
        <f>O65*$C65*(1-$Q$86)/(1-O$86)</f>
      </c>
      <c r="P91" s="32">
        <f>SUM(D91:O91)</f>
      </c>
      <c r="Q91" s="9">
        <f>P91/$P$97</f>
      </c>
      <c r="R91" s="1"/>
      <c r="S91" s="7"/>
      <c r="T91" s="7"/>
      <c r="U91" s="7"/>
    </row>
    <row customHeight="true" hidden="true" ht="19" r="92">
      <c r="A92" s="8" t="str">
        <v>tb92</v>
      </c>
      <c r="B92" s="8" t="str">
        <v>香槟金新年礼盒</v>
      </c>
      <c r="C92" s="31">
        <v>539</v>
      </c>
      <c r="D92" s="16">
        <f>D66*$C66*(1-$Q$86)/(1-D$86)</f>
      </c>
      <c r="E92" s="16">
        <f>E66*$C66*(1-$Q$86)/(1-E$86)</f>
      </c>
      <c r="F92" s="16">
        <f>F66*$C66*(1-$Q$86)/(1-F$86)</f>
      </c>
      <c r="G92" s="16">
        <f>G66*$C66*(1-$Q$86)/(1-G$86)</f>
      </c>
      <c r="H92" s="16">
        <f>H66*$C66*(1-$Q$86)/(1-H$86)</f>
      </c>
      <c r="I92" s="16">
        <f>I66*$C66*(1-$Q$86)/(1-I$86)</f>
      </c>
      <c r="J92" s="16">
        <f>J66*$C66*(1-$Q$86)/(1-J$86)</f>
      </c>
      <c r="K92" s="16">
        <f>K66*$C66*(1-$Q$86)/(1-K$86)</f>
      </c>
      <c r="L92" s="16">
        <f>L66*$C66*(1-$Q$86)/(1-L$86)</f>
      </c>
      <c r="M92" s="16">
        <f>M66*$C66*(1-$Q$86)/(1-M$86)</f>
      </c>
      <c r="N92" s="16">
        <f>N66*$C66*(1-$Q$86)/(1-N$86)</f>
      </c>
      <c r="O92" s="16">
        <f>O66*$C66*(1-$Q$86)/(1-O$86)</f>
      </c>
      <c r="P92" s="32">
        <f>SUM(D92:O92)</f>
      </c>
      <c r="Q92" s="9">
        <f>P92/$P$97</f>
      </c>
      <c r="R92" s="1"/>
      <c r="S92" s="7"/>
      <c r="T92" s="7"/>
      <c r="U92" s="7"/>
    </row>
    <row customHeight="true" hidden="true" ht="19" r="93">
      <c r="A93" s="8" t="str">
        <v>tb92</v>
      </c>
      <c r="B93" s="8" t="str">
        <v>钛金属</v>
      </c>
      <c r="C93" s="31">
        <v>799</v>
      </c>
      <c r="D93" s="16">
        <f>D67*$C67*(1-$Q$86)/(1-D$86)</f>
      </c>
      <c r="E93" s="16">
        <f>E67*$C67*(1-$Q$86)/(1-E$86)</f>
      </c>
      <c r="F93" s="16">
        <f>F67*$C67*(1-$Q$86)/(1-F$86)</f>
      </c>
      <c r="G93" s="16">
        <f>G67*$C67*(1-$Q$86)/(1-G$86)</f>
      </c>
      <c r="H93" s="16">
        <f>H67*$C67*(1-$Q$86)/(1-H$86)</f>
      </c>
      <c r="I93" s="16">
        <f>I67*$C67*(1-$Q$86)/(1-I$86)</f>
      </c>
      <c r="J93" s="16">
        <f>J67*$C67*(1-$Q$86)/(1-J$86)</f>
      </c>
      <c r="K93" s="16">
        <f>K67*$C67*(1-$Q$86)/(1-K$86)</f>
      </c>
      <c r="L93" s="16">
        <f>L67*$C67*(1-$Q$86)/(1-L$86)</f>
      </c>
      <c r="M93" s="16">
        <f>M67*$C67*(1-$Q$86)/(1-M$86)</f>
      </c>
      <c r="N93" s="16">
        <f>N67*$C67*(1-$Q$86)/(1-N$86)</f>
      </c>
      <c r="O93" s="16">
        <f>O67*$C67*(1-$Q$86)/(1-O$86)</f>
      </c>
      <c r="P93" s="32">
        <f>SUM(D93:O93)</f>
      </c>
      <c r="Q93" s="9">
        <f>P93/$P$97</f>
      </c>
      <c r="R93" s="1"/>
      <c r="S93" s="7"/>
      <c r="T93" s="7"/>
      <c r="U93" s="7"/>
    </row>
    <row customHeight="true" hidden="true" ht="19" r="94">
      <c r="A94" s="8" t="str">
        <v>TB31</v>
      </c>
      <c r="B94" s="8" t="str">
        <v>SE牙刷</v>
      </c>
      <c r="C94" s="31">
        <v>259</v>
      </c>
      <c r="D94" s="16">
        <f>D68*$C68*(1-$Q$86)/(1-D$86)</f>
      </c>
      <c r="E94" s="16">
        <f>E68*$C68*(1-$Q$86)/(1-E$86)</f>
      </c>
      <c r="F94" s="16">
        <f>F68*$C68*(1-$Q$86)/(1-F$86)</f>
      </c>
      <c r="G94" s="16">
        <f>G68*$C68*(1-$Q$86)/(1-G$86)</f>
      </c>
      <c r="H94" s="16">
        <f>H68*$C68*(1-$Q$86)/(1-H$86)</f>
      </c>
      <c r="I94" s="16">
        <f>I68*$C68*(1-$Q$86)/(1-I$86)</f>
      </c>
      <c r="J94" s="16">
        <f>J68*$C68*(1-$Q$86)/(1-J$86)</f>
      </c>
      <c r="K94" s="16">
        <f>K68*$C68*(1-$Q$86)/(1-K$86)</f>
      </c>
      <c r="L94" s="16">
        <f>L68*$C68*(1-$Q$86)/(1-L$86)</f>
      </c>
      <c r="M94" s="16">
        <f>M68*$C68*(1-$Q$86)/(1-M$86)</f>
      </c>
      <c r="N94" s="16">
        <f>N68*$C68*(1-$Q$86)/(1-N$86)</f>
      </c>
      <c r="O94" s="16">
        <f>O68*$C68*(1-$Q$86)/(1-O$86)</f>
      </c>
      <c r="P94" s="32">
        <f>SUM(D94:O94)</f>
      </c>
      <c r="Q94" s="9">
        <f>P94/$P$97</f>
      </c>
      <c r="R94" s="1"/>
      <c r="S94" s="7"/>
      <c r="T94" s="7"/>
      <c r="U94" s="7"/>
    </row>
    <row customHeight="true" hidden="true" ht="19" r="95">
      <c r="A95" s="8" t="str">
        <v>TB32</v>
      </c>
      <c r="B95" s="8" t="str">
        <v>SE02牙刷</v>
      </c>
      <c r="C95" s="33">
        <v>299</v>
      </c>
      <c r="D95" s="16">
        <f>D69*$C69*(1-$Q$86)/(1-D$86)</f>
      </c>
      <c r="E95" s="16">
        <f>E69*$C69*(1-$Q$86)/(1-E$86)</f>
      </c>
      <c r="F95" s="16">
        <f>F69*$C69*(1-$Q$86)/(1-F$86)</f>
      </c>
      <c r="G95" s="16">
        <f>G69*$C69*(1-$Q$86)/(1-G$86)</f>
      </c>
      <c r="H95" s="16">
        <f>H69*$C69*(1-$Q$86)/(1-H$86)</f>
      </c>
      <c r="I95" s="16">
        <f>I69*$C69*(1-$Q$86)/(1-I$86)</f>
      </c>
      <c r="J95" s="16">
        <f>J69*$C69*(1-$Q$86)/(1-J$86)</f>
      </c>
      <c r="K95" s="16">
        <f>K69*$C69*(1-$Q$86)/(1-K$86)</f>
      </c>
      <c r="L95" s="16">
        <f>L69*$C69*(1-$Q$86)/(1-L$86)</f>
      </c>
      <c r="M95" s="16">
        <f>M69*$C69*(1-$Q$86)/(1-M$86)</f>
      </c>
      <c r="N95" s="16">
        <f>N69*$C69*(1-$Q$86)/(1-N$86)</f>
      </c>
      <c r="O95" s="16">
        <f>O69*$C69*(1-$Q$86)/(1-O$86)</f>
      </c>
      <c r="P95" s="32">
        <f>SUM(D95:O95)</f>
      </c>
      <c r="Q95" s="9">
        <f>P95/$P$97</f>
      </c>
      <c r="R95" s="1"/>
      <c r="S95" s="7"/>
      <c r="T95" s="7"/>
      <c r="U95" s="7"/>
    </row>
    <row customHeight="true" hidden="true" ht="19" r="96">
      <c r="A96" s="8" t="str">
        <v>TC51</v>
      </c>
      <c r="B96" s="8" t="str">
        <v>儿童电动牙刷</v>
      </c>
      <c r="C96" s="31">
        <v>499</v>
      </c>
      <c r="D96" s="16">
        <f>D70*$C70*(1-$Q$86)/(1-D$86)</f>
      </c>
      <c r="E96" s="16">
        <f>E70*$C70*(1-$Q$86)/(1-E$86)</f>
      </c>
      <c r="F96" s="16">
        <f>F70*$C70*(1-$Q$86)/(1-F$86)</f>
      </c>
      <c r="G96" s="16">
        <f>G70*$C70*(1-$Q$86)/(1-G$86)</f>
      </c>
      <c r="H96" s="16">
        <f>H70*$C70*(1-$Q$86)/(1-H$86)</f>
      </c>
      <c r="I96" s="16">
        <f>I70*$C70*(1-$Q$86)/(1-I$86)</f>
      </c>
      <c r="J96" s="16">
        <f>J70*$C70*(1-$Q$86)/(1-J$86)</f>
      </c>
      <c r="K96" s="16">
        <f>K70*$C70*(1-$Q$86)/(1-K$86)</f>
      </c>
      <c r="L96" s="16">
        <f>L70*$C70*(1-$Q$86)/(1-L$86)</f>
      </c>
      <c r="M96" s="16">
        <f>M70*$C70*(1-$Q$86)/(1-M$86)</f>
      </c>
      <c r="N96" s="16">
        <f>N70*$C70*(1-$Q$86)/(1-N$86)</f>
      </c>
      <c r="O96" s="16">
        <f>O70*$C70*(1-$Q$86)/(1-O$86)</f>
      </c>
      <c r="P96" s="32">
        <f>SUM(D96:O96)</f>
      </c>
      <c r="Q96" s="9">
        <f>P96/$P$97</f>
      </c>
      <c r="R96" s="1"/>
      <c r="S96" s="7"/>
      <c r="T96" s="7"/>
      <c r="U96" s="7"/>
    </row>
    <row customHeight="true" hidden="true" ht="19" r="97">
      <c r="A97" s="11"/>
      <c r="B97" s="11" t="str">
        <v>累计</v>
      </c>
      <c r="C97" s="11"/>
      <c r="D97" s="12">
        <f>SUM(D88:D96)</f>
      </c>
      <c r="E97" s="12">
        <f>SUM(E88:E96)</f>
      </c>
      <c r="F97" s="12">
        <f>SUM(F88:F96)</f>
      </c>
      <c r="G97" s="12">
        <f>SUM(G88:G96)</f>
      </c>
      <c r="H97" s="12">
        <f>SUM(H88:H96)</f>
      </c>
      <c r="I97" s="12">
        <f>SUM(I88:I96)</f>
      </c>
      <c r="J97" s="12">
        <f>SUM(J88:J96)</f>
      </c>
      <c r="K97" s="12">
        <f>SUM(K88:K96)</f>
      </c>
      <c r="L97" s="12">
        <f>SUM(L88:L96)</f>
      </c>
      <c r="M97" s="12">
        <f>SUM(M88:M96)</f>
      </c>
      <c r="N97" s="12">
        <f>SUM(N88:N96)</f>
      </c>
      <c r="O97" s="12">
        <f>SUM(O88:O96)</f>
      </c>
      <c r="P97" s="20">
        <f>SUM(P88:P96)</f>
      </c>
      <c r="Q97" s="21">
        <f>SUM(Q88:Q96)</f>
      </c>
      <c r="R97" s="20"/>
      <c r="S97" s="20"/>
      <c r="T97" s="20"/>
      <c r="U97" s="7"/>
    </row>
    <row customHeight="true" hidden="true" ht="19" r="98">
      <c r="A98" s="15"/>
      <c r="P98" s="15">
        <v>552275658.742286</v>
      </c>
    </row>
    <row customHeight="true" hidden="true" ht="19" r="99">
      <c r="A99" s="15"/>
      <c r="P99">
        <f>P98-P97</f>
      </c>
    </row>
    <row customHeight="true" ht="57" r="100">
      <c r="A100" s="26"/>
    </row>
    <row customHeight="true" ht="19" r="101">
      <c r="A101" s="15"/>
    </row>
  </sheetData>
  <mergeCells>
    <mergeCell ref="A82:C82"/>
    <mergeCell ref="B75:C81"/>
    <mergeCell ref="A85:Q85"/>
    <mergeCell ref="A44:Q44"/>
    <mergeCell ref="A1:Q1"/>
    <mergeCell ref="A22:Q22"/>
    <mergeCell ref="A59:Q59"/>
  </mergeCells>
  <picture r:id="rId1"/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7"/>
    <col collapsed="false" customWidth="true" hidden="false" max="2" min="2" style="0" width="17"/>
    <col collapsed="false" customWidth="true" hidden="false" max="3" min="3" style="0" width="17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7"/>
    <col collapsed="false" customWidth="true" hidden="false" max="9" min="9" style="0" width="17"/>
    <col collapsed="false" customWidth="true" hidden="false" max="10" min="10" style="0" width="17"/>
    <col collapsed="false" customWidth="true" hidden="false" max="11" min="11" style="0" width="17"/>
    <col collapsed="false" customWidth="true" hidden="false" max="12" min="12" style="0" width="17"/>
    <col collapsed="false" customWidth="true" hidden="false" max="13" min="13" style="0" width="17"/>
    <col collapsed="false" customWidth="true" hidden="false" max="14" min="14" style="0" width="17"/>
    <col collapsed="false" customWidth="true" hidden="false" max="15" min="15" style="0" width="17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63" t="str">
        <v>GMV（国补后）</v>
      </c>
      <c r="B1" s="63">
        <v>552275658.7422862</v>
      </c>
      <c r="C1" s="57"/>
      <c r="D1" s="57"/>
      <c r="E1" s="57"/>
    </row>
    <row customHeight="true" ht="19" r="2">
      <c r="A2" s="56" t="str">
        <v>退货率</v>
      </c>
      <c r="B2" s="64">
        <v>0.1825153021805057</v>
      </c>
      <c r="C2" s="57"/>
      <c r="D2" s="57"/>
      <c r="E2" s="57"/>
    </row>
    <row r="3">
      <c r="A3" s="56" t="str">
        <v>GSV（国补后）</v>
      </c>
      <c r="B3" s="56">
        <v>451476900</v>
      </c>
      <c r="C3" s="57"/>
      <c r="D3" s="57"/>
      <c r="E3" s="57"/>
      <c r="L3" s="1"/>
      <c r="M3" s="1"/>
      <c r="N3" s="1" t="str">
        <v>目标</v>
      </c>
      <c r="O3" s="1" t="str">
        <v>实际</v>
      </c>
      <c r="P3" s="1" t="str">
        <v>差额</v>
      </c>
    </row>
    <row r="4">
      <c r="A4" s="57"/>
      <c r="B4" s="57"/>
      <c r="C4" s="57"/>
      <c r="D4" s="57"/>
      <c r="E4" s="57"/>
      <c r="L4" s="60" t="str">
        <v>全渠道合计</v>
      </c>
      <c r="M4" s="60"/>
      <c r="N4" s="7">
        <v>456055695.250687</v>
      </c>
      <c r="O4" s="1">
        <f>N11+N16+N21+N29</f>
      </c>
      <c r="P4" s="1"/>
    </row>
    <row r="5">
      <c r="A5" s="19" t="str">
        <v>26年比例</v>
      </c>
      <c r="B5" s="19" t="str">
        <v>年GMV占比</v>
      </c>
      <c r="C5" s="19" t="str">
        <v>GMV（剔自补）</v>
      </c>
      <c r="D5" s="19" t="str">
        <v>上一版目标渠道拆解退款率</v>
      </c>
      <c r="E5" s="19" t="str">
        <v>GSV（剔自补）</v>
      </c>
      <c r="L5" s="50" t="str">
        <v>淘系</v>
      </c>
      <c r="M5" s="50" t="str">
        <v>天猫-店铺</v>
      </c>
      <c r="N5" s="7">
        <v>129147838.83794999</v>
      </c>
      <c r="O5" s="1"/>
      <c r="P5" s="1"/>
    </row>
    <row r="6">
      <c r="A6" s="19" t="str">
        <v>淘系</v>
      </c>
      <c r="B6" s="9">
        <v>0.3328287623953651</v>
      </c>
      <c r="C6" s="50">
        <f>B6*$B$1</f>
      </c>
      <c r="D6" s="9">
        <v>0.26049238507738826</v>
      </c>
      <c r="E6" s="50">
        <f>C6*(1-D6)</f>
      </c>
      <c r="L6" s="50" t="str">
        <v>淘系</v>
      </c>
      <c r="M6" s="50" t="str">
        <v>天猫-达播</v>
      </c>
      <c r="N6" s="7">
        <v>6765797.779148599</v>
      </c>
      <c r="O6" s="1"/>
      <c r="P6" s="1"/>
    </row>
    <row r="7">
      <c r="A7" s="19" t="str">
        <v>京东</v>
      </c>
      <c r="B7" s="9">
        <v>0.258522626263737</v>
      </c>
      <c r="C7" s="50">
        <f>B7*$B$1</f>
      </c>
      <c r="D7" s="9">
        <v>0.10367956974909565</v>
      </c>
      <c r="E7" s="50">
        <f>C7*(1-D7)</f>
      </c>
      <c r="L7" s="50" t="str">
        <v>淘系</v>
      </c>
      <c r="M7" s="50" t="str">
        <v>喵速达</v>
      </c>
      <c r="N7" s="7">
        <v>0</v>
      </c>
      <c r="O7" s="1"/>
      <c r="P7" s="1"/>
    </row>
    <row r="8">
      <c r="A8" s="19" t="str">
        <v>抖快</v>
      </c>
      <c r="B8" s="9">
        <v>0.20570506774391817</v>
      </c>
      <c r="C8" s="50">
        <f>B8*$B$1</f>
      </c>
      <c r="D8" s="9">
        <v>0.2068916005335648</v>
      </c>
      <c r="E8" s="50">
        <f>C8*(1-D8)</f>
      </c>
      <c r="L8" s="50" t="str">
        <v>淘系</v>
      </c>
      <c r="M8" s="50" t="str">
        <v>天猫超市</v>
      </c>
      <c r="N8" s="7">
        <v>0</v>
      </c>
      <c r="O8" s="1"/>
      <c r="P8" s="1"/>
    </row>
    <row r="9">
      <c r="A9" s="19" t="str">
        <v>小店</v>
      </c>
      <c r="B9" s="9">
        <v>0.07841981952171806</v>
      </c>
      <c r="C9" s="50">
        <f>B9*$B$1</f>
      </c>
      <c r="D9" s="9">
        <v>0.2316123668623925</v>
      </c>
      <c r="E9" s="50">
        <f>C9*(1-D9)</f>
      </c>
      <c r="L9" s="50" t="str">
        <v>淘系</v>
      </c>
      <c r="M9" s="50" t="str">
        <v>猫宁</v>
      </c>
      <c r="N9" s="7">
        <v>0</v>
      </c>
      <c r="O9" s="1"/>
      <c r="P9" s="1"/>
    </row>
    <row r="10">
      <c r="A10" s="19" t="str">
        <v>线下</v>
      </c>
      <c r="B10" s="9">
        <v>0.12452372407526165</v>
      </c>
      <c r="C10" s="50">
        <f>B10*$B$1</f>
      </c>
      <c r="D10" s="9">
        <v>0</v>
      </c>
      <c r="E10" s="50">
        <f>C10*(1-D10)</f>
      </c>
      <c r="G10" s="72">
        <v>0.025</v>
      </c>
      <c r="H10" s="70">
        <f>C11*G10</f>
      </c>
      <c r="L10" s="50" t="str">
        <v>淘系</v>
      </c>
      <c r="M10" s="50" t="str">
        <v>天猫优品</v>
      </c>
      <c r="N10" s="7">
        <v>0</v>
      </c>
      <c r="O10" s="1"/>
      <c r="P10" s="1"/>
    </row>
    <row r="11">
      <c r="A11" s="19" t="str">
        <v>汇总</v>
      </c>
      <c r="B11" s="19">
        <f>SUM(B6:B10)</f>
      </c>
      <c r="C11" s="50">
        <f>SUM(C6:C10)</f>
      </c>
      <c r="D11" s="9">
        <f>1-E11/C11</f>
      </c>
      <c r="E11" s="50">
        <f>SUM(E6:E10)</f>
      </c>
      <c r="G11" s="71">
        <v>0.1</v>
      </c>
      <c r="H11" s="70">
        <f>C11*G11</f>
      </c>
      <c r="L11" s="61" t="str">
        <v>淘系合计</v>
      </c>
      <c r="M11" s="61"/>
      <c r="N11" s="7">
        <v>135931278.8716829</v>
      </c>
      <c r="O11" s="1">
        <f>N5+N6</f>
      </c>
      <c r="P11" s="7">
        <f>O11-N11</f>
      </c>
    </row>
    <row r="12">
      <c r="L12" s="50" t="str">
        <v>京东</v>
      </c>
      <c r="M12" s="69" t="str">
        <v>京东自营</v>
      </c>
      <c r="N12" s="7">
        <v>110583522</v>
      </c>
      <c r="O12" s="1"/>
      <c r="P12" s="7"/>
    </row>
    <row r="13">
      <c r="L13" s="50" t="str">
        <v>京东</v>
      </c>
      <c r="M13" s="69" t="str">
        <v>京东POP</v>
      </c>
      <c r="N13" s="7">
        <v>12287057</v>
      </c>
      <c r="O13" s="1"/>
      <c r="P13" s="7"/>
    </row>
    <row r="14">
      <c r="A14" s="19" t="str">
        <v>26年比例</v>
      </c>
      <c r="B14" s="19" t="str">
        <v>年GSV占比</v>
      </c>
      <c r="C14" s="19" t="str">
        <v>GSV国补后</v>
      </c>
      <c r="D14" s="1" t="str">
        <v>目标</v>
      </c>
      <c r="E14" s="1"/>
      <c r="F14" s="15">
        <v>250000</v>
      </c>
      <c r="G14" s="15">
        <v>300000</v>
      </c>
      <c r="L14" s="50" t="str">
        <v>商家自有商城</v>
      </c>
      <c r="M14" s="69" t="str">
        <v>商家自有商城_APP</v>
      </c>
      <c r="N14" s="7">
        <v>0</v>
      </c>
      <c r="O14" s="1"/>
      <c r="P14" s="7"/>
    </row>
    <row r="15">
      <c r="A15" s="19" t="str">
        <v>淘系</v>
      </c>
      <c r="B15" s="9">
        <f>C15/$C$29</f>
      </c>
      <c r="C15" s="68">
        <f>'淘系'!O8</f>
      </c>
      <c r="D15" s="7">
        <f>N5</f>
      </c>
      <c r="E15" s="7">
        <f>D15-C15</f>
      </c>
      <c r="F15" s="67">
        <f>B15*$F$14</f>
      </c>
      <c r="G15" s="67">
        <f>B15*$G$14</f>
      </c>
      <c r="L15" s="50" t="str">
        <v>微信生态</v>
      </c>
      <c r="M15" s="50" t="str">
        <v>微信视频号</v>
      </c>
      <c r="N15" s="7">
        <v>5099999.999999999</v>
      </c>
      <c r="O15" s="1"/>
      <c r="P15" s="7"/>
    </row>
    <row r="16">
      <c r="A16" s="19" t="str">
        <v>抖音</v>
      </c>
      <c r="B16" s="9">
        <f>C16/$C$29</f>
      </c>
      <c r="C16" s="68">
        <f>'抖音'!O8</f>
      </c>
      <c r="D16" s="7">
        <v>85981670.00156501</v>
      </c>
      <c r="E16" s="7">
        <f>D16-C16</f>
      </c>
      <c r="F16" s="67">
        <f>B16*$F$14</f>
      </c>
      <c r="G16" s="67">
        <f>B16*$G$14</f>
      </c>
      <c r="L16" s="61" t="str">
        <v>京东+商城+视频号合计</v>
      </c>
      <c r="M16" s="61"/>
      <c r="N16" s="7">
        <v>127972825.003341</v>
      </c>
      <c r="O16" s="1">
        <f>N12+N13+N15</f>
      </c>
      <c r="P16" s="7">
        <f>O16-N16</f>
      </c>
    </row>
    <row r="17">
      <c r="A17" s="19" t="str">
        <v>PDD</v>
      </c>
      <c r="B17" s="9">
        <f>C17/$C$29</f>
      </c>
      <c r="C17" s="68">
        <f>PDD!O8</f>
      </c>
      <c r="D17" s="7">
        <f>N25</f>
      </c>
      <c r="E17" s="7">
        <f>D17-C17</f>
      </c>
      <c r="F17" s="67">
        <f>B17*$F$14</f>
      </c>
      <c r="G17" s="67">
        <f>B17*$G$14</f>
      </c>
      <c r="L17" s="50" t="str">
        <v>抖音</v>
      </c>
      <c r="M17" s="50" t="str">
        <v>抖音-店铺</v>
      </c>
      <c r="N17" s="7">
        <v>79140025.68043506</v>
      </c>
      <c r="O17" s="1"/>
      <c r="P17" s="7"/>
    </row>
    <row r="18">
      <c r="A18" s="19" t="str">
        <v>得物</v>
      </c>
      <c r="B18" s="9">
        <f>C18/$C$29</f>
      </c>
      <c r="C18" s="68">
        <f>'得物'!O8</f>
      </c>
      <c r="D18" s="7">
        <f>N24</f>
      </c>
      <c r="E18" s="7">
        <f>D18-C18</f>
      </c>
      <c r="F18" s="67">
        <f>B18*$F$14</f>
      </c>
      <c r="G18" s="67">
        <f>B18*$G$14</f>
      </c>
      <c r="L18" s="50" t="str">
        <v>抖音</v>
      </c>
      <c r="M18" s="50" t="str">
        <v>抖音-达播</v>
      </c>
      <c r="N18" s="7">
        <v>3168241.389256143</v>
      </c>
      <c r="O18" s="1"/>
      <c r="P18" s="7"/>
    </row>
    <row r="19">
      <c r="A19" s="19" t="str">
        <v>京东自营</v>
      </c>
      <c r="B19" s="9">
        <f>C19/$C$29</f>
      </c>
      <c r="C19" s="68">
        <f>'京东自营财经口径'!O8</f>
      </c>
      <c r="D19" s="7">
        <f>N12</f>
      </c>
      <c r="E19" s="7">
        <f>D19-C19</f>
      </c>
      <c r="F19" s="67">
        <f>B19*$F$14</f>
      </c>
      <c r="G19" s="67">
        <f>B19*$G$14</f>
      </c>
      <c r="L19" s="50" t="str">
        <v>快手</v>
      </c>
      <c r="M19" s="50" t="str">
        <v>快手-店铺</v>
      </c>
      <c r="N19" s="7">
        <v>121968.26226855016</v>
      </c>
      <c r="O19" s="1"/>
      <c r="P19" s="7"/>
    </row>
    <row r="20">
      <c r="A20" s="19" t="str">
        <v>京东POP</v>
      </c>
      <c r="B20" s="9">
        <f>C20/$C$29</f>
      </c>
      <c r="C20" s="68">
        <f>'京东POP财经口径'!O8</f>
      </c>
      <c r="D20" s="7">
        <f>N13</f>
      </c>
      <c r="E20" s="7">
        <f>D20-C20</f>
      </c>
      <c r="F20" s="67">
        <f>B20*$F$14</f>
      </c>
      <c r="G20" s="67">
        <f>B20*$G$14</f>
      </c>
      <c r="L20" s="50" t="str">
        <v>快手</v>
      </c>
      <c r="M20" s="50" t="str">
        <v>快手-达播</v>
      </c>
      <c r="N20" s="7">
        <v>182952.39343475213</v>
      </c>
      <c r="O20" s="1"/>
      <c r="P20" s="7"/>
    </row>
    <row r="21">
      <c r="A21" s="66" t="str">
        <v>视频号+官网+小程序</v>
      </c>
      <c r="B21" s="9">
        <f>C21/$C$29</f>
      </c>
      <c r="C21" s="73">
        <f>'视频号+官网+小程序'!O8</f>
      </c>
      <c r="D21" s="7">
        <f>N15</f>
      </c>
      <c r="E21" s="7">
        <f>D21-C21</f>
      </c>
      <c r="F21" s="67">
        <f>B21*$F$14</f>
      </c>
      <c r="G21" s="67">
        <f>B21*$G$14</f>
      </c>
      <c r="L21" s="61" t="str">
        <v>抖快合计</v>
      </c>
      <c r="M21" s="61"/>
      <c r="N21" s="7">
        <v>90101794.94249338</v>
      </c>
      <c r="O21" s="1">
        <f>N17+N18+N19+N20</f>
      </c>
      <c r="P21" s="7">
        <f>O21-N21</f>
      </c>
    </row>
    <row r="22">
      <c r="A22" s="66" t="str">
        <v>快手</v>
      </c>
      <c r="B22" s="9">
        <f>C22/$C$29</f>
      </c>
      <c r="C22" s="73">
        <f>'快手'!O8</f>
      </c>
      <c r="D22" s="7">
        <f>N19+N20</f>
      </c>
      <c r="E22" s="7">
        <f>D22-C22</f>
      </c>
      <c r="F22" s="67">
        <f>B22*$F$14</f>
      </c>
      <c r="G22" s="67">
        <f>B22*$G$14</f>
      </c>
      <c r="L22" s="50" t="str">
        <v>小店</v>
      </c>
      <c r="M22" s="50" t="str">
        <v>东方甄选</v>
      </c>
      <c r="N22" s="7">
        <v>0</v>
      </c>
      <c r="O22" s="1"/>
      <c r="P22" s="1"/>
    </row>
    <row r="23">
      <c r="A23" s="66" t="str">
        <v>唯品会</v>
      </c>
      <c r="B23" s="9">
        <f>C23/$C$29</f>
      </c>
      <c r="C23" s="73">
        <f>'唯品会'!O8</f>
      </c>
      <c r="D23" s="7">
        <f>N28</f>
      </c>
      <c r="E23" s="7">
        <f>D23-C23</f>
      </c>
      <c r="F23" s="67">
        <f>B23*$F$14</f>
      </c>
      <c r="G23" s="67">
        <f>B23*$G$14</f>
      </c>
      <c r="L23" s="50" t="str">
        <v>小店</v>
      </c>
      <c r="M23" s="50" t="str">
        <v>小红书</v>
      </c>
      <c r="N23" s="7">
        <v>0</v>
      </c>
      <c r="O23" s="1"/>
      <c r="P23" s="1"/>
    </row>
    <row r="24">
      <c r="A24" s="66" t="str">
        <v>线下门店-直营</v>
      </c>
      <c r="B24" s="9">
        <f>C24/$C$29</f>
      </c>
      <c r="C24" s="73">
        <f>'线下门店-直营'!O8</f>
      </c>
      <c r="D24" s="7">
        <v>5004000</v>
      </c>
      <c r="E24" s="7">
        <f>D24-C24</f>
      </c>
      <c r="F24" s="67">
        <f>B24*$F$14</f>
      </c>
      <c r="G24" s="67">
        <f>B24*$G$14</f>
      </c>
      <c r="L24" s="50" t="str">
        <v>小店</v>
      </c>
      <c r="M24" s="50" t="str">
        <v>得物</v>
      </c>
      <c r="N24" s="7">
        <v>1147500</v>
      </c>
      <c r="O24" s="1"/>
      <c r="P24" s="1"/>
    </row>
    <row r="25">
      <c r="A25" s="66" t="str">
        <v>线下门店-经销</v>
      </c>
      <c r="B25" s="9">
        <f>C25/$C$29</f>
      </c>
      <c r="C25" s="73">
        <f>'线下门店-经销'!O8</f>
      </c>
      <c r="D25" s="7">
        <v>8796000</v>
      </c>
      <c r="E25" s="7">
        <f>D25-C25</f>
      </c>
      <c r="F25" s="67">
        <f>B25*$F$14</f>
      </c>
      <c r="G25" s="67">
        <f>B25*$G$14</f>
      </c>
      <c r="L25" s="50" t="str">
        <v>小店</v>
      </c>
      <c r="M25" s="50" t="str">
        <v>拼多多</v>
      </c>
      <c r="N25" s="7">
        <v>30426472.69408437</v>
      </c>
      <c r="O25" s="1"/>
      <c r="P25" s="1"/>
    </row>
    <row r="26">
      <c r="A26" s="66" t="str">
        <v>线下渠道</v>
      </c>
      <c r="B26" s="9">
        <f>C26/$C$29</f>
      </c>
      <c r="C26" s="73">
        <f>'线下渠道'!O8</f>
      </c>
      <c r="D26" s="7">
        <v>55227565.87422863</v>
      </c>
      <c r="E26" s="7">
        <f>D26-C26</f>
      </c>
      <c r="F26" s="67">
        <f>B26*$F$14</f>
      </c>
      <c r="G26" s="67">
        <f>B26*$G$14</f>
      </c>
      <c r="L26" s="50" t="str">
        <v>小店</v>
      </c>
      <c r="M26" s="50" t="str">
        <v>苏宁</v>
      </c>
      <c r="N26" s="7">
        <v>0</v>
      </c>
      <c r="O26" s="1"/>
      <c r="P26" s="1"/>
    </row>
    <row r="27">
      <c r="A27" s="66" t="str">
        <v>淘系达播</v>
      </c>
      <c r="B27" s="9">
        <f>C27/$C$29</f>
      </c>
      <c r="C27" s="73">
        <f>'淘系达播'!O8</f>
      </c>
      <c r="D27" s="7">
        <f>N6</f>
      </c>
      <c r="E27" s="7">
        <f>D27-C27</f>
      </c>
      <c r="F27" s="67">
        <f>B27*$F$14</f>
      </c>
      <c r="G27" s="67">
        <f>B27*$G$14</f>
      </c>
      <c r="L27" s="50" t="str">
        <v>小店</v>
      </c>
      <c r="M27" s="50" t="str">
        <v>TOB-线上
(影视飓风)</v>
      </c>
      <c r="N27" s="7">
        <v>0</v>
      </c>
      <c r="O27" s="1"/>
      <c r="P27" s="1"/>
    </row>
    <row r="28">
      <c r="A28" s="66" t="str">
        <v>抖音达播</v>
      </c>
      <c r="B28" s="9">
        <f>C28/$C$29</f>
      </c>
      <c r="C28" s="73">
        <f>'抖音达播'!O8</f>
      </c>
      <c r="D28" s="7">
        <f>N18</f>
      </c>
      <c r="E28" s="7">
        <f>D28-C28</f>
      </c>
      <c r="F28" s="67">
        <f>B28*$F$14</f>
      </c>
      <c r="G28" s="67">
        <f>B28*$G$14</f>
      </c>
      <c r="L28" s="50" t="str">
        <v>小店</v>
      </c>
      <c r="M28" s="50" t="str">
        <v>唯品会</v>
      </c>
      <c r="N28" s="7">
        <v>1704401.9963778008</v>
      </c>
      <c r="O28" s="1"/>
      <c r="P28" s="1"/>
    </row>
    <row r="29">
      <c r="A29" s="66" t="str">
        <v>合计</v>
      </c>
      <c r="B29" s="9">
        <f>C29/$C$29</f>
      </c>
      <c r="C29" s="73">
        <f>SUM(C15:C28)</f>
      </c>
      <c r="D29" s="73">
        <f>SUM(D15:D28)</f>
      </c>
      <c r="E29" s="73">
        <f>SUM(E15:E28)</f>
      </c>
      <c r="F29" s="72"/>
      <c r="L29" s="61" t="str">
        <v>小店合计</v>
      </c>
      <c r="M29" s="61"/>
      <c r="N29" s="7">
        <v>33278374.690462172</v>
      </c>
      <c r="O29" s="1">
        <f>N24+N25+N28</f>
      </c>
      <c r="P29" s="1">
        <f>O29-N29</f>
      </c>
    </row>
    <row r="30">
      <c r="E30">
        <f>D29-C29</f>
      </c>
      <c r="L30" s="50" t="str">
        <v>线下</v>
      </c>
      <c r="M30" s="50" t="str">
        <v>经销</v>
      </c>
      <c r="N30" s="7">
        <v>0</v>
      </c>
      <c r="O30" s="1"/>
      <c r="P30" s="1"/>
    </row>
    <row r="31">
      <c r="L31" s="50" t="str">
        <v>线下</v>
      </c>
      <c r="M31" s="50" t="str">
        <v>代销</v>
      </c>
      <c r="N31" s="7">
        <v>0</v>
      </c>
      <c r="O31" s="1"/>
      <c r="P31" s="1"/>
    </row>
    <row r="32">
      <c r="L32" s="50" t="str">
        <v>线下</v>
      </c>
      <c r="M32" s="50" t="str">
        <v>体验店</v>
      </c>
      <c r="N32" s="7">
        <v>0</v>
      </c>
      <c r="O32" s="1"/>
      <c r="P32" s="1"/>
    </row>
    <row r="33">
      <c r="L33" s="61" t="str">
        <v>线下合计</v>
      </c>
      <c r="M33" s="61"/>
      <c r="N33" s="7">
        <v>68771421.7427078</v>
      </c>
      <c r="O33" s="1"/>
      <c r="P33" s="1"/>
    </row>
    <row r="34"/>
    <row customHeight="true" ht="19" r="35"/>
    <row r="36"/>
    <row r="37">
      <c r="A37" s="15" t="str">
        <v>售后费用分摊</v>
      </c>
      <c r="B37" s="80">
        <v>202601</v>
      </c>
      <c r="C37" s="79">
        <v>202602</v>
      </c>
      <c r="D37" s="79">
        <v>202603</v>
      </c>
      <c r="E37" s="79">
        <v>202604</v>
      </c>
      <c r="F37" s="79">
        <v>202605</v>
      </c>
      <c r="G37" s="79">
        <v>202606</v>
      </c>
      <c r="H37" s="79">
        <v>202607</v>
      </c>
      <c r="I37" s="79">
        <v>202608</v>
      </c>
      <c r="J37" s="79">
        <v>202609</v>
      </c>
      <c r="K37" s="79">
        <v>202610</v>
      </c>
      <c r="L37" s="79">
        <v>202611</v>
      </c>
      <c r="M37" s="79">
        <v>202612</v>
      </c>
      <c r="N37" s="79" t="str">
        <v>汇总</v>
      </c>
    </row>
    <row r="38">
      <c r="B38" s="52">
        <v>2113042</v>
      </c>
      <c r="C38" s="52">
        <v>1381742</v>
      </c>
      <c r="D38" s="52">
        <v>1077748</v>
      </c>
      <c r="E38" s="52">
        <v>1658593</v>
      </c>
      <c r="F38" s="52">
        <v>1424395</v>
      </c>
      <c r="G38" s="52">
        <v>997887</v>
      </c>
      <c r="H38" s="52">
        <v>1390333</v>
      </c>
      <c r="I38" s="52">
        <v>1075635</v>
      </c>
      <c r="J38" s="52">
        <v>1482157</v>
      </c>
      <c r="K38" s="52">
        <v>1169906</v>
      </c>
      <c r="L38" s="52">
        <v>1024701</v>
      </c>
      <c r="M38" s="52">
        <v>999777</v>
      </c>
      <c r="N38" s="51">
        <v>15795916</v>
      </c>
    </row>
    <row r="39"/>
    <row r="40">
      <c r="A40" s="19" t="str">
        <v>淘系</v>
      </c>
      <c r="B40" s="7">
        <f>B$38*$B15</f>
      </c>
      <c r="C40" s="7">
        <f>C$38*$B15</f>
      </c>
      <c r="D40" s="7">
        <f>D$38*$B15</f>
      </c>
      <c r="E40" s="7">
        <f>E$38*$B15</f>
      </c>
      <c r="F40" s="7">
        <f>F$38*$B15</f>
      </c>
      <c r="G40" s="7">
        <f>G$38*$B15</f>
      </c>
      <c r="H40" s="7">
        <f>H$38*$B15</f>
      </c>
      <c r="I40" s="7">
        <f>I$38*$B15</f>
      </c>
      <c r="J40" s="7">
        <f>J$38*$B15</f>
      </c>
      <c r="K40" s="7">
        <f>K$38*$B15</f>
      </c>
      <c r="L40" s="7">
        <f>L$38*$B15</f>
      </c>
      <c r="M40" s="7">
        <f>M$38*$B15</f>
      </c>
      <c r="N40" s="65">
        <f>SUM(B40:M40)</f>
      </c>
    </row>
    <row r="41">
      <c r="A41" s="19" t="str">
        <v>抖音</v>
      </c>
      <c r="B41" s="7">
        <f>B$38*$B16</f>
      </c>
      <c r="C41" s="7">
        <f>C$38*$B16</f>
      </c>
      <c r="D41" s="7">
        <f>D$38*$B16</f>
      </c>
      <c r="E41" s="7">
        <f>E$38*$B16</f>
      </c>
      <c r="F41" s="7">
        <f>F$38*$B16</f>
      </c>
      <c r="G41" s="7">
        <f>G$38*$B16</f>
      </c>
      <c r="H41" s="7">
        <f>H$38*$B16</f>
      </c>
      <c r="I41" s="7">
        <f>I$38*$B16</f>
      </c>
      <c r="J41" s="7">
        <f>J$38*$B16</f>
      </c>
      <c r="K41" s="7">
        <f>K$38*$B16</f>
      </c>
      <c r="L41" s="7">
        <f>L$38*$B16</f>
      </c>
      <c r="M41" s="7">
        <f>M$38*$B16</f>
      </c>
      <c r="N41" s="65">
        <f>SUM(B41:M41)</f>
      </c>
    </row>
    <row r="42">
      <c r="A42" s="19" t="str">
        <v>PDD</v>
      </c>
      <c r="B42" s="7">
        <f>B$38*$B17</f>
      </c>
      <c r="C42" s="7">
        <f>C$38*$B17</f>
      </c>
      <c r="D42" s="7">
        <f>D$38*$B17</f>
      </c>
      <c r="E42" s="7">
        <f>E$38*$B17</f>
      </c>
      <c r="F42" s="7">
        <f>F$38*$B17</f>
      </c>
      <c r="G42" s="7">
        <f>G$38*$B17</f>
      </c>
      <c r="H42" s="7">
        <f>H$38*$B17</f>
      </c>
      <c r="I42" s="7">
        <f>I$38*$B17</f>
      </c>
      <c r="J42" s="7">
        <f>J$38*$B17</f>
      </c>
      <c r="K42" s="7">
        <f>K$38*$B17</f>
      </c>
      <c r="L42" s="7">
        <f>L$38*$B17</f>
      </c>
      <c r="M42" s="7">
        <f>M$38*$B17</f>
      </c>
      <c r="N42" s="65">
        <f>SUM(B42:M42)</f>
      </c>
    </row>
    <row r="43">
      <c r="A43" s="19" t="str">
        <v>得物</v>
      </c>
      <c r="B43" s="7">
        <f>B$38*$B18</f>
      </c>
      <c r="C43" s="7">
        <f>C$38*$B18</f>
      </c>
      <c r="D43" s="7">
        <f>D$38*$B18</f>
      </c>
      <c r="E43" s="7">
        <f>E$38*$B18</f>
      </c>
      <c r="F43" s="7">
        <f>F$38*$B18</f>
      </c>
      <c r="G43" s="7">
        <f>G$38*$B18</f>
      </c>
      <c r="H43" s="7">
        <f>H$38*$B18</f>
      </c>
      <c r="I43" s="7">
        <f>I$38*$B18</f>
      </c>
      <c r="J43" s="7">
        <f>J$38*$B18</f>
      </c>
      <c r="K43" s="7">
        <f>K$38*$B18</f>
      </c>
      <c r="L43" s="7">
        <f>L$38*$B18</f>
      </c>
      <c r="M43" s="7">
        <f>M$38*$B18</f>
      </c>
      <c r="N43" s="65">
        <f>SUM(B43:M43)</f>
      </c>
    </row>
    <row r="44">
      <c r="A44" s="19" t="str">
        <v>京东自营</v>
      </c>
      <c r="B44" s="7">
        <f>B$38*$B19</f>
      </c>
      <c r="C44" s="7">
        <f>C$38*$B19</f>
      </c>
      <c r="D44" s="7">
        <f>D$38*$B19</f>
      </c>
      <c r="E44" s="7">
        <f>E$38*$B19</f>
      </c>
      <c r="F44" s="7">
        <f>F$38*$B19</f>
      </c>
      <c r="G44" s="7">
        <f>G$38*$B19</f>
      </c>
      <c r="H44" s="7">
        <f>H$38*$B19</f>
      </c>
      <c r="I44" s="7">
        <f>I$38*$B19</f>
      </c>
      <c r="J44" s="7">
        <f>J$38*$B19</f>
      </c>
      <c r="K44" s="7">
        <f>K$38*$B19</f>
      </c>
      <c r="L44" s="7">
        <f>L$38*$B19</f>
      </c>
      <c r="M44" s="7">
        <f>M$38*$B19</f>
      </c>
      <c r="N44" s="65">
        <f>SUM(B44:M44)</f>
      </c>
    </row>
    <row r="45">
      <c r="A45" s="19" t="str">
        <v>京东POP</v>
      </c>
      <c r="B45" s="7">
        <f>B$38*$B20</f>
      </c>
      <c r="C45" s="7">
        <f>C$38*$B20</f>
      </c>
      <c r="D45" s="7">
        <f>D$38*$B20</f>
      </c>
      <c r="E45" s="7">
        <f>E$38*$B20</f>
      </c>
      <c r="F45" s="7">
        <f>F$38*$B20</f>
      </c>
      <c r="G45" s="7">
        <f>G$38*$B20</f>
      </c>
      <c r="H45" s="7">
        <f>H$38*$B20</f>
      </c>
      <c r="I45" s="7">
        <f>I$38*$B20</f>
      </c>
      <c r="J45" s="7">
        <f>J$38*$B20</f>
      </c>
      <c r="K45" s="7">
        <f>K$38*$B20</f>
      </c>
      <c r="L45" s="7">
        <f>L$38*$B20</f>
      </c>
      <c r="M45" s="7">
        <f>M$38*$B20</f>
      </c>
      <c r="N45" s="65">
        <f>SUM(B45:M45)</f>
      </c>
    </row>
    <row r="46">
      <c r="A46" s="66" t="str">
        <v>视频号+官网+小程序</v>
      </c>
      <c r="B46" s="7">
        <f>B$38*$B21</f>
      </c>
      <c r="C46" s="7">
        <f>C$38*$B21</f>
      </c>
      <c r="D46" s="7">
        <f>D$38*$B21</f>
      </c>
      <c r="E46" s="7">
        <f>E$38*$B21</f>
      </c>
      <c r="F46" s="7">
        <f>F$38*$B21</f>
      </c>
      <c r="G46" s="7">
        <f>G$38*$B21</f>
      </c>
      <c r="H46" s="7">
        <f>H$38*$B21</f>
      </c>
      <c r="I46" s="7">
        <f>I$38*$B21</f>
      </c>
      <c r="J46" s="7">
        <f>J$38*$B21</f>
      </c>
      <c r="K46" s="7">
        <f>K$38*$B21</f>
      </c>
      <c r="L46" s="7">
        <f>L$38*$B21</f>
      </c>
      <c r="M46" s="7">
        <f>M$38*$B21</f>
      </c>
      <c r="N46" s="65">
        <f>SUM(B46:M46)</f>
      </c>
    </row>
    <row r="47">
      <c r="A47" s="66" t="str">
        <v>快手</v>
      </c>
      <c r="B47" s="7">
        <f>B$38*$B22</f>
      </c>
      <c r="C47" s="7">
        <f>C$38*$B22</f>
      </c>
      <c r="D47" s="7">
        <f>D$38*$B22</f>
      </c>
      <c r="E47" s="7">
        <f>E$38*$B22</f>
      </c>
      <c r="F47" s="7">
        <f>F$38*$B22</f>
      </c>
      <c r="G47" s="7">
        <f>G$38*$B22</f>
      </c>
      <c r="H47" s="7">
        <f>H$38*$B22</f>
      </c>
      <c r="I47" s="7">
        <f>I$38*$B22</f>
      </c>
      <c r="J47" s="7">
        <f>J$38*$B22</f>
      </c>
      <c r="K47" s="7">
        <f>K$38*$B22</f>
      </c>
      <c r="L47" s="7">
        <f>L$38*$B22</f>
      </c>
      <c r="M47" s="7">
        <f>M$38*$B22</f>
      </c>
      <c r="N47" s="65">
        <f>SUM(B47:M47)</f>
      </c>
    </row>
    <row r="48">
      <c r="A48" s="66" t="str">
        <v>唯品会</v>
      </c>
      <c r="B48" s="7">
        <f>B$38*$B23</f>
      </c>
      <c r="C48" s="7">
        <f>C$38*$B23</f>
      </c>
      <c r="D48" s="7">
        <f>D$38*$B23</f>
      </c>
      <c r="E48" s="7">
        <f>E$38*$B23</f>
      </c>
      <c r="F48" s="7">
        <f>F$38*$B23</f>
      </c>
      <c r="G48" s="7">
        <f>G$38*$B23</f>
      </c>
      <c r="H48" s="7">
        <f>H$38*$B23</f>
      </c>
      <c r="I48" s="7">
        <f>I$38*$B23</f>
      </c>
      <c r="J48" s="7">
        <f>J$38*$B23</f>
      </c>
      <c r="K48" s="7">
        <f>K$38*$B23</f>
      </c>
      <c r="L48" s="7">
        <f>L$38*$B23</f>
      </c>
      <c r="M48" s="7">
        <f>M$38*$B23</f>
      </c>
      <c r="N48" s="65">
        <f>SUM(B48:M48)</f>
      </c>
    </row>
    <row r="49">
      <c r="A49" s="66" t="str">
        <v>线下门店-直营</v>
      </c>
      <c r="B49" s="7">
        <f>B$38*$B24</f>
      </c>
      <c r="C49" s="7">
        <f>C$38*$B24</f>
      </c>
      <c r="D49" s="7">
        <f>D$38*$B24</f>
      </c>
      <c r="E49" s="7">
        <f>E$38*$B24</f>
      </c>
      <c r="F49" s="7">
        <f>F$38*$B24</f>
      </c>
      <c r="G49" s="7">
        <f>G$38*$B24</f>
      </c>
      <c r="H49" s="7">
        <f>H$38*$B24</f>
      </c>
      <c r="I49" s="7">
        <f>I$38*$B24</f>
      </c>
      <c r="J49" s="7">
        <f>J$38*$B24</f>
      </c>
      <c r="K49" s="7">
        <f>K$38*$B24</f>
      </c>
      <c r="L49" s="7">
        <f>L$38*$B24</f>
      </c>
      <c r="M49" s="7">
        <f>M$38*$B24</f>
      </c>
      <c r="N49" s="65">
        <f>SUM(B49:M49)</f>
      </c>
    </row>
    <row r="50">
      <c r="A50" s="66" t="str">
        <v>线下门店-经销</v>
      </c>
      <c r="B50" s="7">
        <f>B$38*$B25</f>
      </c>
      <c r="C50" s="7">
        <f>C$38*$B25</f>
      </c>
      <c r="D50" s="7">
        <f>D$38*$B25</f>
      </c>
      <c r="E50" s="7">
        <f>E$38*$B25</f>
      </c>
      <c r="F50" s="7">
        <f>F$38*$B25</f>
      </c>
      <c r="G50" s="7">
        <f>G$38*$B25</f>
      </c>
      <c r="H50" s="7">
        <f>H$38*$B25</f>
      </c>
      <c r="I50" s="7">
        <f>I$38*$B25</f>
      </c>
      <c r="J50" s="7">
        <f>J$38*$B25</f>
      </c>
      <c r="K50" s="7">
        <f>K$38*$B25</f>
      </c>
      <c r="L50" s="7">
        <f>L$38*$B25</f>
      </c>
      <c r="M50" s="7">
        <f>M$38*$B25</f>
      </c>
      <c r="N50" s="65">
        <f>SUM(B50:M50)</f>
      </c>
    </row>
    <row r="51">
      <c r="A51" s="66" t="str">
        <v>线下渠道</v>
      </c>
      <c r="B51" s="7">
        <f>B$38*$B26</f>
      </c>
      <c r="C51" s="7">
        <f>C$38*$B26</f>
      </c>
      <c r="D51" s="7">
        <f>D$38*$B26</f>
      </c>
      <c r="E51" s="7">
        <f>E$38*$B26</f>
      </c>
      <c r="F51" s="7">
        <f>F$38*$B26</f>
      </c>
      <c r="G51" s="7">
        <f>G$38*$B26</f>
      </c>
      <c r="H51" s="7">
        <f>H$38*$B26</f>
      </c>
      <c r="I51" s="7">
        <f>I$38*$B26</f>
      </c>
      <c r="J51" s="7">
        <f>J$38*$B26</f>
      </c>
      <c r="K51" s="7">
        <f>K$38*$B26</f>
      </c>
      <c r="L51" s="7">
        <f>L$38*$B26</f>
      </c>
      <c r="M51" s="7">
        <f>M$38*$B26</f>
      </c>
      <c r="N51" s="65">
        <f>SUM(B51:M51)</f>
      </c>
    </row>
    <row r="52">
      <c r="A52" s="66" t="str">
        <v>淘系达播</v>
      </c>
      <c r="B52" s="7">
        <f>B$38*$B27</f>
      </c>
      <c r="C52" s="7">
        <f>C$38*$B27</f>
      </c>
      <c r="D52" s="7">
        <f>D$38*$B27</f>
      </c>
      <c r="E52" s="7">
        <f>E$38*$B27</f>
      </c>
      <c r="F52" s="7">
        <f>F$38*$B27</f>
      </c>
      <c r="G52" s="7">
        <f>G$38*$B27</f>
      </c>
      <c r="H52" s="7">
        <f>H$38*$B27</f>
      </c>
      <c r="I52" s="7">
        <f>I$38*$B27</f>
      </c>
      <c r="J52" s="7">
        <f>J$38*$B27</f>
      </c>
      <c r="K52" s="7">
        <f>K$38*$B27</f>
      </c>
      <c r="L52" s="7">
        <f>L$38*$B27</f>
      </c>
      <c r="M52" s="7">
        <f>M$38*$B27</f>
      </c>
      <c r="N52" s="65">
        <f>SUM(B52:M52)</f>
      </c>
    </row>
    <row r="53">
      <c r="A53" s="66" t="str">
        <v>抖音达播</v>
      </c>
      <c r="B53" s="7">
        <f>B$38*$B28</f>
      </c>
      <c r="C53" s="7">
        <f>C$38*$B28</f>
      </c>
      <c r="D53" s="7">
        <f>D$38*$B28</f>
      </c>
      <c r="E53" s="7">
        <f>E$38*$B28</f>
      </c>
      <c r="F53" s="7">
        <f>F$38*$B28</f>
      </c>
      <c r="G53" s="7">
        <f>G$38*$B28</f>
      </c>
      <c r="H53" s="7">
        <f>H$38*$B28</f>
      </c>
      <c r="I53" s="7">
        <f>I$38*$B28</f>
      </c>
      <c r="J53" s="7">
        <f>J$38*$B28</f>
      </c>
      <c r="K53" s="7">
        <f>K$38*$B28</f>
      </c>
      <c r="L53" s="7">
        <f>L$38*$B28</f>
      </c>
      <c r="M53" s="7">
        <f>M$38*$B28</f>
      </c>
      <c r="N53" s="65">
        <f>SUM(B53:M53)</f>
      </c>
    </row>
    <row r="54">
      <c r="A54" s="66" t="str">
        <v>合计</v>
      </c>
    </row>
    <row r="55"/>
    <row r="56">
      <c r="A56" s="74" t="str">
        <v>品牌内容费用各渠道分摊</v>
      </c>
    </row>
    <row r="57">
      <c r="A57" s="22"/>
      <c r="B57" s="78" t="str">
        <v>费用汇总：</v>
      </c>
      <c r="C57" s="76">
        <v>202601</v>
      </c>
      <c r="D57" s="76">
        <v>202602</v>
      </c>
      <c r="E57" s="76">
        <v>202603</v>
      </c>
      <c r="F57" s="76">
        <v>202604</v>
      </c>
      <c r="G57" s="76">
        <v>202605</v>
      </c>
      <c r="H57" s="76">
        <v>202606</v>
      </c>
      <c r="I57" s="76">
        <v>202607</v>
      </c>
      <c r="J57" s="76">
        <v>202608</v>
      </c>
      <c r="K57" s="76">
        <v>202609</v>
      </c>
      <c r="L57" s="76">
        <v>202610</v>
      </c>
      <c r="M57" s="76">
        <v>202611</v>
      </c>
      <c r="N57" s="76">
        <v>202612</v>
      </c>
      <c r="O57" s="76" t="str">
        <v>汇总</v>
      </c>
    </row>
    <row customHeight="true" ht="19" r="58">
      <c r="A58" s="22"/>
      <c r="B58" s="59" t="str">
        <v>品牌及内容费用</v>
      </c>
      <c r="C58" s="77">
        <v>381621.10619469034</v>
      </c>
      <c r="D58" s="75">
        <v>1346283.579154376</v>
      </c>
      <c r="E58" s="75">
        <v>2372202.1887905607</v>
      </c>
      <c r="F58" s="75">
        <v>1332214.8141592925</v>
      </c>
      <c r="G58" s="75">
        <v>5792485.818584071</v>
      </c>
      <c r="H58" s="75">
        <v>3352298.4657079647</v>
      </c>
      <c r="I58" s="75">
        <v>615702.7035398232</v>
      </c>
      <c r="J58" s="75">
        <v>1065893.2168141594</v>
      </c>
      <c r="K58" s="75">
        <v>850227.3318584071</v>
      </c>
      <c r="L58" s="75">
        <v>3035505.970785799</v>
      </c>
      <c r="M58" s="75">
        <v>1195812.9768632054</v>
      </c>
      <c r="N58" s="75">
        <v>708003.1602516262</v>
      </c>
      <c r="O58" s="75">
        <f>SUM(C58:N58)</f>
      </c>
    </row>
    <row customHeight="true" ht="19" r="59">
      <c r="A59" s="22"/>
      <c r="B59" s="53" t="str">
        <v>展会</v>
      </c>
      <c r="C59" s="77">
        <v>0</v>
      </c>
      <c r="D59" s="75">
        <v>0</v>
      </c>
      <c r="E59" s="75">
        <v>64814.267453294015</v>
      </c>
      <c r="F59" s="75">
        <v>54155.0737463127</v>
      </c>
      <c r="G59" s="75">
        <v>115388.16371681416</v>
      </c>
      <c r="H59" s="75">
        <v>101584.80199115045</v>
      </c>
      <c r="I59" s="75">
        <v>65500.28761061949</v>
      </c>
      <c r="J59" s="75">
        <v>90329.93362831858</v>
      </c>
      <c r="K59" s="75">
        <v>72053.16371681416</v>
      </c>
      <c r="L59" s="75">
        <v>121420.23883143195</v>
      </c>
      <c r="M59" s="75">
        <v>91985.61360486197</v>
      </c>
      <c r="N59" s="75">
        <v>0</v>
      </c>
      <c r="O59" s="75">
        <f>SUM(C59:N59)</f>
      </c>
    </row>
    <row customHeight="true" ht="19" r="60">
      <c r="A60" s="22"/>
      <c r="B60" s="53" t="str">
        <v>品牌营销</v>
      </c>
      <c r="C60" s="77">
        <v>0</v>
      </c>
      <c r="D60" s="75">
        <v>0</v>
      </c>
      <c r="E60" s="75">
        <v>0</v>
      </c>
      <c r="F60" s="75">
        <v>64986.08849557524</v>
      </c>
      <c r="G60" s="75">
        <v>692328.9823008849</v>
      </c>
      <c r="H60" s="75">
        <v>325071.36637168145</v>
      </c>
      <c r="I60" s="75">
        <v>0</v>
      </c>
      <c r="J60" s="75">
        <v>108395.9203539823</v>
      </c>
      <c r="K60" s="75">
        <v>230570.1238938053</v>
      </c>
      <c r="L60" s="75">
        <v>145704.28659771834</v>
      </c>
      <c r="M60" s="75">
        <v>110382.73632583435</v>
      </c>
      <c r="N60" s="75">
        <v>0</v>
      </c>
      <c r="O60" s="75">
        <f>SUM(C60:N60)</f>
      </c>
    </row>
    <row customHeight="true" ht="19" r="61">
      <c r="A61" s="22"/>
      <c r="B61" s="53" t="str">
        <v>内容素材制作</v>
      </c>
      <c r="C61" s="77">
        <v>31801.758849557526</v>
      </c>
      <c r="D61" s="75">
        <v>25890.068829891843</v>
      </c>
      <c r="E61" s="75">
        <v>25925.706981317606</v>
      </c>
      <c r="F61" s="75">
        <v>108310.1474926254</v>
      </c>
      <c r="G61" s="75">
        <v>692328.9823008849</v>
      </c>
      <c r="H61" s="75">
        <v>446973.128761062</v>
      </c>
      <c r="I61" s="75">
        <v>0</v>
      </c>
      <c r="J61" s="75">
        <v>108395.9203539823</v>
      </c>
      <c r="K61" s="75">
        <v>230570.1238938053</v>
      </c>
      <c r="L61" s="75">
        <v>242840.4776628639</v>
      </c>
      <c r="M61" s="75">
        <v>183971.22720972393</v>
      </c>
      <c r="N61" s="75">
        <v>32181.96182961937</v>
      </c>
      <c r="O61" s="75">
        <f>SUM(C61:N61)</f>
      </c>
    </row>
    <row customHeight="true" ht="19" r="62">
      <c r="A62" s="22"/>
      <c r="B62" s="53" t="str">
        <v>公关费用</v>
      </c>
      <c r="C62" s="77">
        <v>31801.758849557526</v>
      </c>
      <c r="D62" s="75">
        <v>25890.068829891843</v>
      </c>
      <c r="E62" s="75">
        <v>207405.65585054085</v>
      </c>
      <c r="F62" s="75">
        <v>21662.02949852508</v>
      </c>
      <c r="G62" s="75">
        <v>138465.796460177</v>
      </c>
      <c r="H62" s="75">
        <v>40633.92079646018</v>
      </c>
      <c r="I62" s="75">
        <v>26200.115044247796</v>
      </c>
      <c r="J62" s="75">
        <v>36131.97345132744</v>
      </c>
      <c r="K62" s="75">
        <v>28821.265486725664</v>
      </c>
      <c r="L62" s="75">
        <v>97136.19106514557</v>
      </c>
      <c r="M62" s="75">
        <v>73588.49088388958</v>
      </c>
      <c r="N62" s="75">
        <v>32181.96182961937</v>
      </c>
      <c r="O62" s="75">
        <f>SUM(C62:N62)</f>
      </c>
    </row>
    <row r="63">
      <c r="B63" s="53" t="str">
        <v>达人种草、样机及加热</v>
      </c>
      <c r="C63" s="77">
        <v>318017.5884955753</v>
      </c>
      <c r="D63" s="75">
        <v>1294503.4414945922</v>
      </c>
      <c r="E63" s="75">
        <v>2074056.5585054085</v>
      </c>
      <c r="F63" s="75">
        <v>1083101.474926254</v>
      </c>
      <c r="G63" s="75">
        <v>4153973.8938053097</v>
      </c>
      <c r="H63" s="75">
        <v>2438035.2477876106</v>
      </c>
      <c r="I63" s="75">
        <v>524002.3008849559</v>
      </c>
      <c r="J63" s="75">
        <v>722639.4690265487</v>
      </c>
      <c r="K63" s="75">
        <v>288212.65486725664</v>
      </c>
      <c r="L63" s="75">
        <v>2428404.776628639</v>
      </c>
      <c r="M63" s="75">
        <v>735884.9088388957</v>
      </c>
      <c r="N63" s="75">
        <v>643639.2365923874</v>
      </c>
      <c r="O63" s="75">
        <f>SUM(C63:N63)</f>
      </c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  <c r="AA63" s="76"/>
      <c r="AB63" s="76"/>
    </row>
    <row customHeight="true" ht="19" r="64">
      <c r="A64" s="22"/>
      <c r="B64" s="62" t="str">
        <v>淘系品专</v>
      </c>
      <c r="C64" s="13">
        <v>146616.11635220126</v>
      </c>
      <c r="D64" s="13">
        <v>146616.11635220126</v>
      </c>
      <c r="E64" s="13">
        <v>146616.11635220126</v>
      </c>
      <c r="F64" s="13">
        <v>146616.11635220126</v>
      </c>
      <c r="G64" s="13">
        <v>146616.11635220126</v>
      </c>
      <c r="H64" s="13">
        <v>146616.11635220126</v>
      </c>
      <c r="I64" s="13">
        <v>146616.11635220126</v>
      </c>
      <c r="J64" s="13">
        <v>146616.11635220126</v>
      </c>
      <c r="K64" s="13">
        <v>146616.11635220126</v>
      </c>
      <c r="L64" s="13">
        <v>146616.11635220126</v>
      </c>
      <c r="M64" s="13">
        <v>146616.11635220126</v>
      </c>
      <c r="N64" s="13">
        <v>146616.11635220126</v>
      </c>
      <c r="O64">
        <f>SUM(C64:N64)</f>
      </c>
    </row>
    <row customHeight="true" ht="19" r="65">
      <c r="A65" s="22"/>
      <c r="B65" s="62" t="str">
        <v>京东品专</v>
      </c>
      <c r="C65" s="13">
        <v>34415.408805031446</v>
      </c>
      <c r="D65" s="13">
        <v>34415.408805031446</v>
      </c>
      <c r="E65" s="13">
        <v>34415.408805031446</v>
      </c>
      <c r="F65" s="13">
        <v>34415.408805031446</v>
      </c>
      <c r="G65" s="13">
        <v>34415.408805031446</v>
      </c>
      <c r="H65" s="13">
        <v>34415.408805031446</v>
      </c>
      <c r="I65" s="13">
        <v>34415.408805031446</v>
      </c>
      <c r="J65" s="13">
        <v>34415.408805031446</v>
      </c>
      <c r="K65" s="13">
        <v>34415.408805031446</v>
      </c>
      <c r="L65" s="13">
        <v>34415.408805031446</v>
      </c>
      <c r="M65" s="13">
        <v>34415.408805031446</v>
      </c>
      <c r="N65" s="13">
        <v>34415.408805031446</v>
      </c>
      <c r="O65">
        <f>SUM(C65:N65)</f>
      </c>
    </row>
    <row r="66">
      <c r="B66" s="1" t="str">
        <v>抖音品专</v>
      </c>
      <c r="C66" s="13">
        <v>28163.75786163522</v>
      </c>
      <c r="D66" s="13">
        <v>28163.75786163522</v>
      </c>
      <c r="E66" s="13">
        <v>28163.75786163522</v>
      </c>
      <c r="F66" s="13">
        <v>28163.75786163522</v>
      </c>
      <c r="G66" s="13">
        <v>28163.75786163522</v>
      </c>
      <c r="H66" s="13">
        <v>28163.75786163522</v>
      </c>
      <c r="I66" s="13">
        <v>28163.75786163522</v>
      </c>
      <c r="J66" s="13">
        <v>28163.75786163522</v>
      </c>
      <c r="K66" s="13">
        <v>28163.75786163522</v>
      </c>
      <c r="L66" s="13">
        <v>28163.75786163522</v>
      </c>
      <c r="M66" s="13">
        <v>28163.75786163522</v>
      </c>
      <c r="N66" s="13">
        <v>28163.75786163522</v>
      </c>
      <c r="O66">
        <f>SUM(C66:N66)</f>
      </c>
    </row>
    <row r="67">
      <c r="A67" s="22" t="str">
        <v>淘系</v>
      </c>
      <c r="B67" s="55" t="str">
        <v>品牌及内容费用</v>
      </c>
      <c r="C67" s="13">
        <f>C58*$A$68</f>
      </c>
      <c r="D67" s="13">
        <f>D58*$A$68</f>
      </c>
      <c r="E67" s="13">
        <f>E58*$A$68</f>
      </c>
      <c r="F67" s="13">
        <f>F58*$A$68</f>
      </c>
      <c r="G67" s="13">
        <f>G58*$A$68</f>
      </c>
      <c r="H67" s="13">
        <f>H58*$A$68</f>
      </c>
      <c r="I67" s="13">
        <f>I58*$A$68</f>
      </c>
      <c r="J67" s="13">
        <f>J58*$A$68</f>
      </c>
      <c r="K67" s="13">
        <f>K58*$A$68</f>
      </c>
      <c r="L67" s="13">
        <f>L58*$A$68</f>
      </c>
      <c r="M67" s="13">
        <f>M58*$A$68</f>
      </c>
      <c r="N67" s="13">
        <f>N58*$A$68</f>
      </c>
      <c r="O67" s="13"/>
    </row>
    <row r="68">
      <c r="A68" s="54">
        <v>0.2866313392190543</v>
      </c>
      <c r="B68" s="58" t="str">
        <v>展会</v>
      </c>
      <c r="C68" s="13">
        <f>C59*$A$68</f>
      </c>
      <c r="D68" s="13">
        <f>D59*$A$68</f>
      </c>
      <c r="E68" s="13">
        <f>E59*$A$68</f>
      </c>
      <c r="F68" s="13">
        <f>F59*$A$68</f>
      </c>
      <c r="G68" s="13">
        <f>G59*$A$68</f>
      </c>
      <c r="H68" s="13">
        <f>H59*$A$68</f>
      </c>
      <c r="I68" s="13">
        <f>I59*$A$68</f>
      </c>
      <c r="J68" s="13">
        <f>J59*$A$68</f>
      </c>
      <c r="K68" s="13">
        <f>K59*$A$68</f>
      </c>
      <c r="L68" s="13">
        <f>L59*$A$68</f>
      </c>
      <c r="M68" s="13">
        <f>M59*$A$68</f>
      </c>
      <c r="N68" s="13">
        <f>N59*$A$68</f>
      </c>
      <c r="O68" s="13"/>
    </row>
    <row r="69">
      <c r="B69" s="58" t="str">
        <v>品牌营销</v>
      </c>
      <c r="C69" s="13">
        <f>C60*$A$68</f>
      </c>
      <c r="D69" s="13">
        <f>D60*$A$68</f>
      </c>
      <c r="E69" s="13">
        <f>E60*$A$68</f>
      </c>
      <c r="F69" s="13">
        <f>F60*$A$68</f>
      </c>
      <c r="G69" s="13">
        <f>G60*$A$68</f>
      </c>
      <c r="H69" s="13">
        <f>H60*$A$68</f>
      </c>
      <c r="I69" s="13">
        <f>I60*$A$68</f>
      </c>
      <c r="J69" s="13">
        <f>J60*$A$68</f>
      </c>
      <c r="K69" s="13">
        <f>K60*$A$68</f>
      </c>
      <c r="L69" s="13">
        <f>L60*$A$68</f>
      </c>
      <c r="M69" s="13">
        <f>M60*$A$68</f>
      </c>
      <c r="N69" s="13">
        <f>N60*$A$68</f>
      </c>
      <c r="O69" s="13"/>
    </row>
    <row r="70">
      <c r="B70" s="53" t="str">
        <v>内容素材制作</v>
      </c>
      <c r="C70" s="13">
        <f>C61*$A$68</f>
      </c>
      <c r="D70" s="13">
        <f>D61*$A$68</f>
      </c>
      <c r="E70" s="13">
        <f>E61*$A$68</f>
      </c>
      <c r="F70" s="13">
        <f>F61*$A$68</f>
      </c>
      <c r="G70" s="13">
        <f>G61*$A$68</f>
      </c>
      <c r="H70" s="13">
        <f>H61*$A$68</f>
      </c>
      <c r="I70" s="13">
        <f>I61*$A$68</f>
      </c>
      <c r="J70" s="13">
        <f>J61*$A$68</f>
      </c>
      <c r="K70" s="13">
        <f>K61*$A$68</f>
      </c>
      <c r="L70" s="13">
        <f>L61*$A$68</f>
      </c>
      <c r="M70" s="13">
        <f>M61*$A$68</f>
      </c>
      <c r="N70" s="13">
        <f>N61*$A$68</f>
      </c>
      <c r="O70" s="13"/>
    </row>
    <row r="71">
      <c r="B71" s="53" t="str">
        <v>公关费用</v>
      </c>
      <c r="C71" s="13">
        <f>C62*$A$68</f>
      </c>
      <c r="D71" s="13">
        <f>D62*$A$68</f>
      </c>
      <c r="E71" s="13">
        <f>E62*$A$68</f>
      </c>
      <c r="F71" s="13">
        <f>F62*$A$68</f>
      </c>
      <c r="G71" s="13">
        <f>G62*$A$68</f>
      </c>
      <c r="H71" s="13">
        <f>H62*$A$68</f>
      </c>
      <c r="I71" s="13">
        <f>I62*$A$68</f>
      </c>
      <c r="J71" s="13">
        <f>J62*$A$68</f>
      </c>
      <c r="K71" s="13">
        <f>K62*$A$68</f>
      </c>
      <c r="L71" s="13">
        <f>L62*$A$68</f>
      </c>
      <c r="M71" s="13">
        <f>M62*$A$68</f>
      </c>
      <c r="N71" s="13">
        <f>N62*$A$68</f>
      </c>
      <c r="O71" s="13"/>
    </row>
    <row r="72">
      <c r="B72" s="53" t="str">
        <v>达人种草、样机及加热</v>
      </c>
      <c r="C72" s="13">
        <f>C63*$A$68</f>
      </c>
      <c r="D72" s="13">
        <f>D63*$A$68</f>
      </c>
      <c r="E72" s="13">
        <f>E63*$A$68</f>
      </c>
      <c r="F72" s="13">
        <f>F63*$A$68</f>
      </c>
      <c r="G72" s="13">
        <f>G63*$A$68</f>
      </c>
      <c r="H72" s="13">
        <f>H63*$A$68</f>
      </c>
      <c r="I72" s="13">
        <f>I63*$A$68</f>
      </c>
      <c r="J72" s="13">
        <f>J63*$A$68</f>
      </c>
      <c r="K72" s="13">
        <f>K63*$A$68</f>
      </c>
      <c r="L72" s="13">
        <f>L63*$A$68</f>
      </c>
      <c r="M72" s="13">
        <f>M63*$A$68</f>
      </c>
      <c r="N72" s="13">
        <f>N63*$A$68</f>
      </c>
      <c r="O72" s="13"/>
    </row>
    <row r="73"/>
    <row r="74">
      <c r="A74" s="22" t="str">
        <v>抖音</v>
      </c>
      <c r="B74" s="59" t="str">
        <v>品牌及内容费用</v>
      </c>
      <c r="C74">
        <f>C58*$A$75</f>
      </c>
      <c r="D74">
        <f>D58*$A$75</f>
      </c>
      <c r="E74">
        <f>E58*$A$75</f>
      </c>
      <c r="F74">
        <f>F58*$A$75</f>
      </c>
      <c r="G74">
        <f>G58*$A$75</f>
      </c>
      <c r="H74">
        <f>H58*$A$75</f>
      </c>
      <c r="I74">
        <f>I58*$A$75</f>
      </c>
      <c r="J74">
        <f>J58*$A$75</f>
      </c>
      <c r="K74">
        <f>K58*$A$75</f>
      </c>
      <c r="L74">
        <f>L58*$A$75</f>
      </c>
      <c r="M74">
        <f>M58*$A$75</f>
      </c>
      <c r="N74">
        <f>N58*$A$75</f>
      </c>
    </row>
    <row r="75">
      <c r="A75" s="54">
        <v>0.19082813502899212</v>
      </c>
      <c r="B75" s="53" t="str">
        <v>展会</v>
      </c>
      <c r="C75">
        <f>C59*$A$75</f>
      </c>
      <c r="D75">
        <f>D59*$A$75</f>
      </c>
      <c r="E75">
        <f>E59*$A$75</f>
      </c>
      <c r="F75">
        <f>F59*$A$75</f>
      </c>
      <c r="G75">
        <f>G59*$A$75</f>
      </c>
      <c r="H75">
        <f>H59*$A$75</f>
      </c>
      <c r="I75">
        <f>I59*$A$75</f>
      </c>
      <c r="J75">
        <f>J59*$A$75</f>
      </c>
      <c r="K75">
        <f>K59*$A$75</f>
      </c>
      <c r="L75">
        <f>L59*$A$75</f>
      </c>
      <c r="M75">
        <f>M59*$A$75</f>
      </c>
      <c r="N75">
        <f>N59*$A$75</f>
      </c>
    </row>
    <row customHeight="true" ht="19" r="76">
      <c r="A76" s="22"/>
      <c r="B76" s="53" t="str">
        <v>品牌营销</v>
      </c>
      <c r="C76">
        <f>C60*$A$75</f>
      </c>
      <c r="D76">
        <f>D60*$A$75</f>
      </c>
      <c r="E76">
        <f>E60*$A$75</f>
      </c>
      <c r="F76">
        <f>F60*$A$75</f>
      </c>
      <c r="G76">
        <f>G60*$A$75</f>
      </c>
      <c r="H76">
        <f>H60*$A$75</f>
      </c>
      <c r="I76">
        <f>I60*$A$75</f>
      </c>
      <c r="J76">
        <f>J60*$A$75</f>
      </c>
      <c r="K76">
        <f>K60*$A$75</f>
      </c>
      <c r="L76">
        <f>L60*$A$75</f>
      </c>
      <c r="M76">
        <f>M60*$A$75</f>
      </c>
      <c r="N76">
        <f>N60*$A$75</f>
      </c>
    </row>
    <row customHeight="true" ht="19" r="77">
      <c r="A77" s="22"/>
      <c r="B77" s="53" t="str">
        <v>内容素材制作</v>
      </c>
      <c r="C77">
        <f>C61*$A$75</f>
      </c>
      <c r="D77">
        <f>D61*$A$75</f>
      </c>
      <c r="E77">
        <f>E61*$A$75</f>
      </c>
      <c r="F77">
        <f>F61*$A$75</f>
      </c>
      <c r="G77">
        <f>G61*$A$75</f>
      </c>
      <c r="H77">
        <f>H61*$A$75</f>
      </c>
      <c r="I77">
        <f>I61*$A$75</f>
      </c>
      <c r="J77">
        <f>J61*$A$75</f>
      </c>
      <c r="K77">
        <f>K61*$A$75</f>
      </c>
      <c r="L77">
        <f>L61*$A$75</f>
      </c>
      <c r="M77">
        <f>M61*$A$75</f>
      </c>
      <c r="N77">
        <f>N61*$A$75</f>
      </c>
    </row>
    <row customHeight="true" ht="19" r="78">
      <c r="A78" s="22"/>
      <c r="B78" s="53" t="str">
        <v>公关费用</v>
      </c>
      <c r="C78">
        <f>C62*$A$75</f>
      </c>
      <c r="D78">
        <f>D62*$A$75</f>
      </c>
      <c r="E78">
        <f>E62*$A$75</f>
      </c>
      <c r="F78">
        <f>F62*$A$75</f>
      </c>
      <c r="G78">
        <f>G62*$A$75</f>
      </c>
      <c r="H78">
        <f>H62*$A$75</f>
      </c>
      <c r="I78">
        <f>I62*$A$75</f>
      </c>
      <c r="J78">
        <f>J62*$A$75</f>
      </c>
      <c r="K78">
        <f>K62*$A$75</f>
      </c>
      <c r="L78">
        <f>L62*$A$75</f>
      </c>
      <c r="M78">
        <f>M62*$A$75</f>
      </c>
      <c r="N78">
        <f>N62*$A$75</f>
      </c>
    </row>
    <row customHeight="true" ht="19" r="79">
      <c r="A79" s="22"/>
      <c r="B79" s="53" t="str">
        <v>达人种草、样机及加热</v>
      </c>
      <c r="C79">
        <f>C63*$A$75</f>
      </c>
      <c r="D79">
        <f>D63*$A$75</f>
      </c>
      <c r="E79">
        <f>E63*$A$75</f>
      </c>
      <c r="F79">
        <f>F63*$A$75</f>
      </c>
      <c r="G79">
        <f>G63*$A$75</f>
      </c>
      <c r="H79">
        <f>H63*$A$75</f>
      </c>
      <c r="I79">
        <f>I63*$A$75</f>
      </c>
      <c r="J79">
        <f>J63*$A$75</f>
      </c>
      <c r="K79">
        <f>K63*$A$75</f>
      </c>
      <c r="L79">
        <f>L63*$A$75</f>
      </c>
      <c r="M79">
        <f>M63*$A$75</f>
      </c>
      <c r="N79">
        <f>N63*$A$75</f>
      </c>
    </row>
    <row customHeight="true" ht="19" r="80">
      <c r="A80" s="22"/>
      <c r="B80" s="54"/>
    </row>
    <row customHeight="true" ht="19" r="81">
      <c r="A81" s="22" t="str">
        <v>PDD</v>
      </c>
      <c r="B81" s="59" t="str">
        <v>品牌及内容费用</v>
      </c>
      <c r="C81" s="13">
        <f>C58*$A$82</f>
      </c>
      <c r="D81" s="13">
        <f>D58*$A$82</f>
      </c>
      <c r="E81" s="13">
        <f>E58*$A$82</f>
      </c>
      <c r="F81" s="13">
        <f>F58*$A$82</f>
      </c>
      <c r="G81" s="13">
        <f>G58*$A$82</f>
      </c>
      <c r="H81" s="13">
        <f>H58*$A$82</f>
      </c>
      <c r="I81" s="13">
        <f>I58*$A$82</f>
      </c>
      <c r="J81" s="13">
        <f>J58*$A$82</f>
      </c>
      <c r="K81" s="13">
        <f>K58*$A$82</f>
      </c>
      <c r="L81" s="13">
        <f>L58*$A$82</f>
      </c>
      <c r="M81" s="13">
        <f>M58*$A$82</f>
      </c>
      <c r="N81" s="13">
        <f>N58*$A$82</f>
      </c>
      <c r="O81" s="13"/>
    </row>
    <row customHeight="true" ht="19" r="82">
      <c r="A82" s="54">
        <v>0.06752866092990507</v>
      </c>
      <c r="B82" s="53" t="str">
        <v>展会</v>
      </c>
      <c r="C82" s="13">
        <f>C59*$A$82</f>
      </c>
      <c r="D82" s="13">
        <f>D59*$A$82</f>
      </c>
      <c r="E82" s="13">
        <f>E59*$A$82</f>
      </c>
      <c r="F82" s="13">
        <f>F59*$A$82</f>
      </c>
      <c r="G82" s="13">
        <f>G59*$A$82</f>
      </c>
      <c r="H82" s="13">
        <f>H59*$A$82</f>
      </c>
      <c r="I82" s="13">
        <f>I59*$A$82</f>
      </c>
      <c r="J82" s="13">
        <f>J59*$A$82</f>
      </c>
      <c r="K82" s="13">
        <f>K59*$A$82</f>
      </c>
      <c r="L82" s="13">
        <f>L59*$A$82</f>
      </c>
      <c r="M82" s="13">
        <f>M59*$A$82</f>
      </c>
      <c r="N82" s="13">
        <f>N59*$A$82</f>
      </c>
      <c r="O82" s="13"/>
    </row>
    <row customHeight="true" ht="19" r="83">
      <c r="A83" s="22"/>
      <c r="B83" s="53" t="str">
        <v>品牌营销</v>
      </c>
      <c r="C83" s="13">
        <f>C60*$A$82</f>
      </c>
      <c r="D83" s="13">
        <f>D60*$A$82</f>
      </c>
      <c r="E83" s="13">
        <f>E60*$A$82</f>
      </c>
      <c r="F83" s="13">
        <f>F60*$A$82</f>
      </c>
      <c r="G83" s="13">
        <f>G60*$A$82</f>
      </c>
      <c r="H83" s="13">
        <f>H60*$A$82</f>
      </c>
      <c r="I83" s="13">
        <f>I60*$A$82</f>
      </c>
      <c r="J83" s="13">
        <f>J60*$A$82</f>
      </c>
      <c r="K83" s="13">
        <f>K60*$A$82</f>
      </c>
      <c r="L83" s="13">
        <f>L60*$A$82</f>
      </c>
      <c r="M83" s="13">
        <f>M60*$A$82</f>
      </c>
      <c r="N83" s="13">
        <f>N60*$A$82</f>
      </c>
      <c r="O83" s="13"/>
    </row>
    <row r="84">
      <c r="B84" s="53" t="str">
        <v>内容素材制作</v>
      </c>
      <c r="C84" s="13">
        <f>C61*$A$82</f>
      </c>
      <c r="D84" s="13">
        <f>D61*$A$82</f>
      </c>
      <c r="E84" s="13">
        <f>E61*$A$82</f>
      </c>
      <c r="F84" s="13">
        <f>F61*$A$82</f>
      </c>
      <c r="G84" s="13">
        <f>G61*$A$82</f>
      </c>
      <c r="H84" s="13">
        <f>H61*$A$82</f>
      </c>
      <c r="I84" s="13">
        <f>I61*$A$82</f>
      </c>
      <c r="J84" s="13">
        <f>J61*$A$82</f>
      </c>
      <c r="K84" s="13">
        <f>K61*$A$82</f>
      </c>
      <c r="L84" s="13">
        <f>L61*$A$82</f>
      </c>
      <c r="M84" s="13">
        <f>M61*$A$82</f>
      </c>
      <c r="N84" s="13">
        <f>N61*$A$82</f>
      </c>
      <c r="O84" s="13"/>
    </row>
    <row r="85">
      <c r="B85" s="53" t="str">
        <v>公关费用</v>
      </c>
      <c r="C85" s="13">
        <f>C62*$A$82</f>
      </c>
      <c r="D85" s="13">
        <f>D62*$A$82</f>
      </c>
      <c r="E85" s="13">
        <f>E62*$A$82</f>
      </c>
      <c r="F85" s="13">
        <f>F62*$A$82</f>
      </c>
      <c r="G85" s="13">
        <f>G62*$A$82</f>
      </c>
      <c r="H85" s="13">
        <f>H62*$A$82</f>
      </c>
      <c r="I85" s="13">
        <f>I62*$A$82</f>
      </c>
      <c r="J85" s="13">
        <f>J62*$A$82</f>
      </c>
      <c r="K85" s="13">
        <f>K62*$A$82</f>
      </c>
      <c r="L85" s="13">
        <f>L62*$A$82</f>
      </c>
      <c r="M85" s="13">
        <f>M62*$A$82</f>
      </c>
      <c r="N85" s="13">
        <f>N62*$A$82</f>
      </c>
      <c r="O85" s="13"/>
    </row>
    <row r="86">
      <c r="B86" s="53" t="str">
        <v>达人种草、样机及加热</v>
      </c>
      <c r="C86" s="13">
        <f>C63*$A$82</f>
      </c>
      <c r="D86" s="13">
        <f>D63*$A$82</f>
      </c>
      <c r="E86" s="13">
        <f>E63*$A$82</f>
      </c>
      <c r="F86" s="13">
        <f>F63*$A$82</f>
      </c>
      <c r="G86" s="13">
        <f>G63*$A$82</f>
      </c>
      <c r="H86" s="13">
        <f>H63*$A$82</f>
      </c>
      <c r="I86" s="13">
        <f>I63*$A$82</f>
      </c>
      <c r="J86" s="13">
        <f>J63*$A$82</f>
      </c>
      <c r="K86" s="13">
        <f>K63*$A$82</f>
      </c>
      <c r="L86" s="13">
        <f>L63*$A$82</f>
      </c>
      <c r="M86" s="13">
        <f>M63*$A$82</f>
      </c>
      <c r="N86" s="13">
        <f>N63*$A$82</f>
      </c>
      <c r="O86" s="13"/>
    </row>
    <row r="87"/>
    <row r="88">
      <c r="A88" s="22" t="str">
        <v>得物</v>
      </c>
      <c r="B88" s="54">
        <v>0.002546767060255782</v>
      </c>
    </row>
    <row r="89">
      <c r="B89" s="59" t="str">
        <v>品牌及内容费用</v>
      </c>
      <c r="C89">
        <f>C58*$B$88</f>
      </c>
      <c r="D89">
        <f>D58*$B$88</f>
      </c>
      <c r="E89">
        <f>E58*$B$88</f>
      </c>
      <c r="F89">
        <f>F58*$B$88</f>
      </c>
      <c r="G89">
        <f>G58*$B$88</f>
      </c>
      <c r="H89">
        <f>H58*$B$88</f>
      </c>
      <c r="I89">
        <f>I58*$B$88</f>
      </c>
      <c r="J89">
        <f>J58*$B$88</f>
      </c>
      <c r="K89">
        <f>K58*$B$88</f>
      </c>
      <c r="L89">
        <f>L58*$B$88</f>
      </c>
      <c r="M89">
        <f>M58*$B$88</f>
      </c>
      <c r="N89">
        <f>N58*$B$88</f>
      </c>
    </row>
    <row r="90">
      <c r="B90" s="53" t="str">
        <v>展会</v>
      </c>
      <c r="C90">
        <f>C59*$B$88</f>
      </c>
      <c r="D90">
        <f>D59*$B$88</f>
      </c>
      <c r="E90">
        <f>E59*$B$88</f>
      </c>
      <c r="F90">
        <f>F59*$B$88</f>
      </c>
      <c r="G90">
        <f>G59*$B$88</f>
      </c>
      <c r="H90">
        <f>H59*$B$88</f>
      </c>
      <c r="I90">
        <f>I59*$B$88</f>
      </c>
      <c r="J90">
        <f>J59*$B$88</f>
      </c>
      <c r="K90">
        <f>K59*$B$88</f>
      </c>
      <c r="L90">
        <f>L59*$B$88</f>
      </c>
      <c r="M90">
        <f>M59*$B$88</f>
      </c>
      <c r="N90">
        <f>N59*$B$88</f>
      </c>
    </row>
    <row r="91">
      <c r="B91" s="53" t="str">
        <v>品牌营销</v>
      </c>
      <c r="C91">
        <f>C60*$B$88</f>
      </c>
      <c r="D91">
        <f>D60*$B$88</f>
      </c>
      <c r="E91">
        <f>E60*$B$88</f>
      </c>
      <c r="F91">
        <f>F60*$B$88</f>
      </c>
      <c r="G91">
        <f>G60*$B$88</f>
      </c>
      <c r="H91">
        <f>H60*$B$88</f>
      </c>
      <c r="I91">
        <f>I60*$B$88</f>
      </c>
      <c r="J91">
        <f>J60*$B$88</f>
      </c>
      <c r="K91">
        <f>K60*$B$88</f>
      </c>
      <c r="L91">
        <f>L60*$B$88</f>
      </c>
      <c r="M91">
        <f>M60*$B$88</f>
      </c>
      <c r="N91">
        <f>N60*$B$88</f>
      </c>
    </row>
    <row r="92">
      <c r="B92" s="53" t="str">
        <v>内容素材制作</v>
      </c>
      <c r="C92">
        <f>C61*$B$88</f>
      </c>
      <c r="D92">
        <f>D61*$B$88</f>
      </c>
      <c r="E92">
        <f>E61*$B$88</f>
      </c>
      <c r="F92">
        <f>F61*$B$88</f>
      </c>
      <c r="G92">
        <f>G61*$B$88</f>
      </c>
      <c r="H92">
        <f>H61*$B$88</f>
      </c>
      <c r="I92">
        <f>I61*$B$88</f>
      </c>
      <c r="J92">
        <f>J61*$B$88</f>
      </c>
      <c r="K92">
        <f>K61*$B$88</f>
      </c>
      <c r="L92">
        <f>L61*$B$88</f>
      </c>
      <c r="M92">
        <f>M61*$B$88</f>
      </c>
      <c r="N92">
        <f>N61*$B$88</f>
      </c>
    </row>
    <row r="93">
      <c r="B93" s="53" t="str">
        <v>公关费用</v>
      </c>
      <c r="C93">
        <f>C62*$B$88</f>
      </c>
      <c r="D93">
        <f>D62*$B$88</f>
      </c>
      <c r="E93">
        <f>E62*$B$88</f>
      </c>
      <c r="F93">
        <f>F62*$B$88</f>
      </c>
      <c r="G93">
        <f>G62*$B$88</f>
      </c>
      <c r="H93">
        <f>H62*$B$88</f>
      </c>
      <c r="I93">
        <f>I62*$B$88</f>
      </c>
      <c r="J93">
        <f>J62*$B$88</f>
      </c>
      <c r="K93">
        <f>K62*$B$88</f>
      </c>
      <c r="L93">
        <f>L62*$B$88</f>
      </c>
      <c r="M93">
        <f>M62*$B$88</f>
      </c>
      <c r="N93">
        <f>N62*$B$88</f>
      </c>
    </row>
    <row r="94">
      <c r="B94" s="53" t="str">
        <v>达人种草、样机及加热</v>
      </c>
      <c r="C94">
        <f>C63*$B$88</f>
      </c>
      <c r="D94">
        <f>D63*$B$88</f>
      </c>
      <c r="E94">
        <f>E63*$B$88</f>
      </c>
      <c r="F94">
        <f>F63*$B$88</f>
      </c>
      <c r="G94">
        <f>G63*$B$88</f>
      </c>
      <c r="H94">
        <f>H63*$B$88</f>
      </c>
      <c r="I94">
        <f>I63*$B$88</f>
      </c>
      <c r="J94">
        <f>J63*$B$88</f>
      </c>
      <c r="K94">
        <f>K63*$B$88</f>
      </c>
      <c r="L94">
        <f>L63*$B$88</f>
      </c>
      <c r="M94">
        <f>M63*$B$88</f>
      </c>
      <c r="N94">
        <f>N63*$B$88</f>
      </c>
    </row>
    <row r="95"/>
    <row r="96">
      <c r="A96" s="22" t="str">
        <v>京东自营</v>
      </c>
      <c r="B96" s="54">
        <v>0.2333714559411723</v>
      </c>
    </row>
    <row r="97">
      <c r="B97" s="59" t="str">
        <v>品牌及内容费用</v>
      </c>
      <c r="C97">
        <f>C58*$B$96</f>
      </c>
      <c r="D97">
        <f>D58*$B$96</f>
      </c>
      <c r="E97">
        <f>E58*$B$96</f>
      </c>
      <c r="F97">
        <f>F58*$B$96</f>
      </c>
      <c r="G97">
        <f>G58*$B$96</f>
      </c>
      <c r="H97">
        <f>H58*$B$96</f>
      </c>
      <c r="I97">
        <f>I58*$B$96</f>
      </c>
      <c r="J97">
        <f>J58*$B$96</f>
      </c>
      <c r="K97">
        <f>K58*$B$96</f>
      </c>
      <c r="L97">
        <f>L58*$B$96</f>
      </c>
      <c r="M97">
        <f>M58*$B$96</f>
      </c>
      <c r="N97">
        <f>N58*$B$96</f>
      </c>
    </row>
    <row r="98">
      <c r="B98" s="53" t="str">
        <v>展会</v>
      </c>
      <c r="C98">
        <f>C59*$B$96</f>
      </c>
      <c r="D98">
        <f>D59*$B$96</f>
      </c>
      <c r="E98">
        <f>E59*$B$96</f>
      </c>
      <c r="F98">
        <f>F59*$B$96</f>
      </c>
      <c r="G98">
        <f>G59*$B$96</f>
      </c>
      <c r="H98">
        <f>H59*$B$96</f>
      </c>
      <c r="I98">
        <f>I59*$B$96</f>
      </c>
      <c r="J98">
        <f>J59*$B$96</f>
      </c>
      <c r="K98">
        <f>K59*$B$96</f>
      </c>
      <c r="L98">
        <f>L59*$B$96</f>
      </c>
      <c r="M98">
        <f>M59*$B$96</f>
      </c>
      <c r="N98">
        <f>N59*$B$96</f>
      </c>
    </row>
    <row r="99">
      <c r="B99" s="53" t="str">
        <v>品牌营销</v>
      </c>
      <c r="C99">
        <f>C60*$B$96</f>
      </c>
      <c r="D99">
        <f>D60*$B$96</f>
      </c>
      <c r="E99">
        <f>E60*$B$96</f>
      </c>
      <c r="F99">
        <f>F60*$B$96</f>
      </c>
      <c r="G99">
        <f>G60*$B$96</f>
      </c>
      <c r="H99">
        <f>H60*$B$96</f>
      </c>
      <c r="I99">
        <f>I60*$B$96</f>
      </c>
      <c r="J99">
        <f>J60*$B$96</f>
      </c>
      <c r="K99">
        <f>K60*$B$96</f>
      </c>
      <c r="L99">
        <f>L60*$B$96</f>
      </c>
      <c r="M99">
        <f>M60*$B$96</f>
      </c>
      <c r="N99">
        <f>N60*$B$96</f>
      </c>
    </row>
    <row r="100">
      <c r="B100" s="53" t="str">
        <v>内容素材制作</v>
      </c>
      <c r="C100">
        <f>C61*$B$96</f>
      </c>
      <c r="D100">
        <f>D61*$B$96</f>
      </c>
      <c r="E100">
        <f>E61*$B$96</f>
      </c>
      <c r="F100">
        <f>F61*$B$96</f>
      </c>
      <c r="G100">
        <f>G61*$B$96</f>
      </c>
      <c r="H100">
        <f>H61*$B$96</f>
      </c>
      <c r="I100">
        <f>I61*$B$96</f>
      </c>
      <c r="J100">
        <f>J61*$B$96</f>
      </c>
      <c r="K100">
        <f>K61*$B$96</f>
      </c>
      <c r="L100">
        <f>L61*$B$96</f>
      </c>
      <c r="M100">
        <f>M61*$B$96</f>
      </c>
      <c r="N100">
        <f>N61*$B$96</f>
      </c>
    </row>
    <row r="101">
      <c r="B101" s="53" t="str">
        <v>公关费用</v>
      </c>
      <c r="C101">
        <f>C62*$B$96</f>
      </c>
      <c r="D101">
        <f>D62*$B$96</f>
      </c>
      <c r="E101">
        <f>E62*$B$96</f>
      </c>
      <c r="F101">
        <f>F62*$B$96</f>
      </c>
      <c r="G101">
        <f>G62*$B$96</f>
      </c>
      <c r="H101">
        <f>H62*$B$96</f>
      </c>
      <c r="I101">
        <f>I62*$B$96</f>
      </c>
      <c r="J101">
        <f>J62*$B$96</f>
      </c>
      <c r="K101">
        <f>K62*$B$96</f>
      </c>
      <c r="L101">
        <f>L62*$B$96</f>
      </c>
      <c r="M101">
        <f>M62*$B$96</f>
      </c>
      <c r="N101">
        <f>N62*$B$96</f>
      </c>
    </row>
    <row r="102">
      <c r="B102" s="53" t="str">
        <v>达人种草、样机及加热</v>
      </c>
      <c r="C102">
        <f>C63*$B$96</f>
      </c>
      <c r="D102">
        <f>D63*$B$96</f>
      </c>
      <c r="E102">
        <f>E63*$B$96</f>
      </c>
      <c r="F102">
        <f>F63*$B$96</f>
      </c>
      <c r="G102">
        <f>G63*$B$96</f>
      </c>
      <c r="H102">
        <f>H63*$B$96</f>
      </c>
      <c r="I102">
        <f>I63*$B$96</f>
      </c>
      <c r="J102">
        <f>J63*$B$96</f>
      </c>
      <c r="K102">
        <f>K63*$B$96</f>
      </c>
      <c r="L102">
        <f>L63*$B$96</f>
      </c>
      <c r="M102">
        <f>M63*$B$96</f>
      </c>
      <c r="N102">
        <f>N63*$B$96</f>
      </c>
    </row>
    <row r="103"/>
    <row r="104">
      <c r="A104" s="22" t="str">
        <v>京东POP</v>
      </c>
      <c r="B104" s="54">
        <v>0.027269953843211528</v>
      </c>
    </row>
    <row r="105">
      <c r="B105" s="59" t="str">
        <v>品牌及内容费用</v>
      </c>
      <c r="C105">
        <f>C58*$B$104</f>
      </c>
      <c r="D105">
        <f>D58*$B$104</f>
      </c>
      <c r="E105">
        <f>E58*$B$104</f>
      </c>
      <c r="F105">
        <f>F58*$B$104</f>
      </c>
      <c r="G105">
        <f>G58*$B$104</f>
      </c>
      <c r="H105">
        <f>H58*$B$104</f>
      </c>
      <c r="I105">
        <f>I58*$B$104</f>
      </c>
      <c r="J105">
        <f>J58*$B$104</f>
      </c>
      <c r="K105">
        <f>K58*$B$104</f>
      </c>
      <c r="L105">
        <f>L58*$B$104</f>
      </c>
      <c r="M105">
        <f>M58*$B$104</f>
      </c>
      <c r="N105">
        <f>N58*$B$104</f>
      </c>
    </row>
    <row r="106">
      <c r="B106" s="53" t="str">
        <v>展会</v>
      </c>
      <c r="C106">
        <f>C59*$B$104</f>
      </c>
      <c r="D106">
        <f>D59*$B$104</f>
      </c>
      <c r="E106">
        <f>E59*$B$104</f>
      </c>
      <c r="F106">
        <f>F59*$B$104</f>
      </c>
      <c r="G106">
        <f>G59*$B$104</f>
      </c>
      <c r="H106">
        <f>H59*$B$104</f>
      </c>
      <c r="I106">
        <f>I59*$B$104</f>
      </c>
      <c r="J106">
        <f>J59*$B$104</f>
      </c>
      <c r="K106">
        <f>K59*$B$104</f>
      </c>
      <c r="L106">
        <f>L59*$B$104</f>
      </c>
      <c r="M106">
        <f>M59*$B$104</f>
      </c>
      <c r="N106">
        <f>N59*$B$104</f>
      </c>
    </row>
    <row r="107">
      <c r="B107" s="53" t="str">
        <v>品牌营销</v>
      </c>
      <c r="C107">
        <f>C60*$B$104</f>
      </c>
      <c r="D107">
        <f>D60*$B$104</f>
      </c>
      <c r="E107">
        <f>E60*$B$104</f>
      </c>
      <c r="F107">
        <f>F60*$B$104</f>
      </c>
      <c r="G107">
        <f>G60*$B$104</f>
      </c>
      <c r="H107">
        <f>H60*$B$104</f>
      </c>
      <c r="I107">
        <f>I60*$B$104</f>
      </c>
      <c r="J107">
        <f>J60*$B$104</f>
      </c>
      <c r="K107">
        <f>K60*$B$104</f>
      </c>
      <c r="L107">
        <f>L60*$B$104</f>
      </c>
      <c r="M107">
        <f>M60*$B$104</f>
      </c>
      <c r="N107">
        <f>N60*$B$104</f>
      </c>
    </row>
    <row r="108">
      <c r="B108" s="53" t="str">
        <v>内容素材制作</v>
      </c>
      <c r="C108">
        <f>C61*$B$104</f>
      </c>
      <c r="D108">
        <f>D61*$B$104</f>
      </c>
      <c r="E108">
        <f>E61*$B$104</f>
      </c>
      <c r="F108">
        <f>F61*$B$104</f>
      </c>
      <c r="G108">
        <f>G61*$B$104</f>
      </c>
      <c r="H108">
        <f>H61*$B$104</f>
      </c>
      <c r="I108">
        <f>I61*$B$104</f>
      </c>
      <c r="J108">
        <f>J61*$B$104</f>
      </c>
      <c r="K108">
        <f>K61*$B$104</f>
      </c>
      <c r="L108">
        <f>L61*$B$104</f>
      </c>
      <c r="M108">
        <f>M61*$B$104</f>
      </c>
      <c r="N108">
        <f>N61*$B$104</f>
      </c>
    </row>
    <row r="109">
      <c r="B109" s="53" t="str">
        <v>公关费用</v>
      </c>
      <c r="C109">
        <f>C62*$B$104</f>
      </c>
      <c r="D109">
        <f>D62*$B$104</f>
      </c>
      <c r="E109">
        <f>E62*$B$104</f>
      </c>
      <c r="F109">
        <f>F62*$B$104</f>
      </c>
      <c r="G109">
        <f>G62*$B$104</f>
      </c>
      <c r="H109">
        <f>H62*$B$104</f>
      </c>
      <c r="I109">
        <f>I62*$B$104</f>
      </c>
      <c r="J109">
        <f>J62*$B$104</f>
      </c>
      <c r="K109">
        <f>K62*$B$104</f>
      </c>
      <c r="L109">
        <f>L62*$B$104</f>
      </c>
      <c r="M109">
        <f>M62*$B$104</f>
      </c>
      <c r="N109">
        <f>N62*$B$104</f>
      </c>
    </row>
    <row r="110">
      <c r="B110" s="53" t="str">
        <v>达人种草、样机及加热</v>
      </c>
      <c r="C110">
        <f>C63*$B$104</f>
      </c>
      <c r="D110">
        <f>D63*$B$104</f>
      </c>
      <c r="E110">
        <f>E63*$B$104</f>
      </c>
      <c r="F110">
        <f>F63*$B$104</f>
      </c>
      <c r="G110">
        <f>G63*$B$104</f>
      </c>
      <c r="H110">
        <f>H63*$B$104</f>
      </c>
      <c r="I110">
        <f>I63*$B$104</f>
      </c>
      <c r="J110">
        <f>J63*$B$104</f>
      </c>
      <c r="K110">
        <f>K63*$B$104</f>
      </c>
      <c r="L110">
        <f>L63*$B$104</f>
      </c>
      <c r="M110">
        <f>M63*$B$104</f>
      </c>
      <c r="N110">
        <f>N63*$B$104</f>
      </c>
    </row>
    <row r="111"/>
    <row r="112">
      <c r="A112" s="1" t="str">
        <v>视频号+官网+小程序</v>
      </c>
      <c r="B112" s="54">
        <v>0.011318964712247918</v>
      </c>
    </row>
    <row r="113">
      <c r="B113" s="59" t="str">
        <v>品牌及内容费用</v>
      </c>
      <c r="C113">
        <f>C58*$B$112</f>
      </c>
      <c r="D113">
        <f>D58*$B$112</f>
      </c>
      <c r="E113">
        <f>E58*$B$112</f>
      </c>
      <c r="F113">
        <f>F58*$B$112</f>
      </c>
      <c r="G113">
        <f>G58*$B$112</f>
      </c>
      <c r="H113">
        <f>H58*$B$112</f>
      </c>
      <c r="I113">
        <f>I58*$B$112</f>
      </c>
      <c r="J113">
        <f>J58*$B$112</f>
      </c>
      <c r="K113">
        <f>K58*$B$112</f>
      </c>
      <c r="L113">
        <f>L58*$B$112</f>
      </c>
      <c r="M113">
        <f>M58*$B$112</f>
      </c>
      <c r="N113">
        <f>N58*$B$112</f>
      </c>
    </row>
    <row r="114">
      <c r="B114" s="53" t="str">
        <v>展会</v>
      </c>
      <c r="C114">
        <f>C59*$B$112</f>
      </c>
      <c r="D114">
        <f>D59*$B$112</f>
      </c>
      <c r="E114">
        <f>E59*$B$112</f>
      </c>
      <c r="F114">
        <f>F59*$B$112</f>
      </c>
      <c r="G114">
        <f>G59*$B$112</f>
      </c>
      <c r="H114">
        <f>H59*$B$112</f>
      </c>
      <c r="I114">
        <f>I59*$B$112</f>
      </c>
      <c r="J114">
        <f>J59*$B$112</f>
      </c>
      <c r="K114">
        <f>K59*$B$112</f>
      </c>
      <c r="L114">
        <f>L59*$B$112</f>
      </c>
      <c r="M114">
        <f>M59*$B$112</f>
      </c>
      <c r="N114">
        <f>N59*$B$112</f>
      </c>
    </row>
    <row r="115">
      <c r="B115" s="53" t="str">
        <v>品牌营销</v>
      </c>
      <c r="C115">
        <f>C60*$B$112</f>
      </c>
      <c r="D115">
        <f>D60*$B$112</f>
      </c>
      <c r="E115">
        <f>E60*$B$112</f>
      </c>
      <c r="F115">
        <f>F60*$B$112</f>
      </c>
      <c r="G115">
        <f>G60*$B$112</f>
      </c>
      <c r="H115">
        <f>H60*$B$112</f>
      </c>
      <c r="I115">
        <f>I60*$B$112</f>
      </c>
      <c r="J115">
        <f>J60*$B$112</f>
      </c>
      <c r="K115">
        <f>K60*$B$112</f>
      </c>
      <c r="L115">
        <f>L60*$B$112</f>
      </c>
      <c r="M115">
        <f>M60*$B$112</f>
      </c>
      <c r="N115">
        <f>N60*$B$112</f>
      </c>
    </row>
    <row r="116">
      <c r="B116" s="53" t="str">
        <v>内容素材制作</v>
      </c>
      <c r="C116">
        <f>C61*$B$112</f>
      </c>
      <c r="D116">
        <f>D61*$B$112</f>
      </c>
      <c r="E116">
        <f>E61*$B$112</f>
      </c>
      <c r="F116">
        <f>F61*$B$112</f>
      </c>
      <c r="G116">
        <f>G61*$B$112</f>
      </c>
      <c r="H116">
        <f>H61*$B$112</f>
      </c>
      <c r="I116">
        <f>I61*$B$112</f>
      </c>
      <c r="J116">
        <f>J61*$B$112</f>
      </c>
      <c r="K116">
        <f>K61*$B$112</f>
      </c>
      <c r="L116">
        <f>L61*$B$112</f>
      </c>
      <c r="M116">
        <f>M61*$B$112</f>
      </c>
      <c r="N116">
        <f>N61*$B$112</f>
      </c>
    </row>
    <row r="117">
      <c r="B117" s="53" t="str">
        <v>公关费用</v>
      </c>
      <c r="C117">
        <f>C62*$B$112</f>
      </c>
      <c r="D117">
        <f>D62*$B$112</f>
      </c>
      <c r="E117">
        <f>E62*$B$112</f>
      </c>
      <c r="F117">
        <f>F62*$B$112</f>
      </c>
      <c r="G117">
        <f>G62*$B$112</f>
      </c>
      <c r="H117">
        <f>H62*$B$112</f>
      </c>
      <c r="I117">
        <f>I62*$B$112</f>
      </c>
      <c r="J117">
        <f>J62*$B$112</f>
      </c>
      <c r="K117">
        <f>K62*$B$112</f>
      </c>
      <c r="L117">
        <f>L62*$B$112</f>
      </c>
      <c r="M117">
        <f>M62*$B$112</f>
      </c>
      <c r="N117">
        <f>N62*$B$112</f>
      </c>
    </row>
    <row r="118">
      <c r="B118" s="53" t="str">
        <v>达人种草、样机及加热</v>
      </c>
      <c r="C118">
        <f>C63*$B$112</f>
      </c>
      <c r="D118">
        <f>D63*$B$112</f>
      </c>
      <c r="E118">
        <f>E63*$B$112</f>
      </c>
      <c r="F118">
        <f>F63*$B$112</f>
      </c>
      <c r="G118">
        <f>G63*$B$112</f>
      </c>
      <c r="H118">
        <f>H63*$B$112</f>
      </c>
      <c r="I118">
        <f>I63*$B$112</f>
      </c>
      <c r="J118">
        <f>J63*$B$112</f>
      </c>
      <c r="K118">
        <f>K63*$B$112</f>
      </c>
      <c r="L118">
        <f>L63*$B$112</f>
      </c>
      <c r="M118">
        <f>M63*$B$112</f>
      </c>
      <c r="N118">
        <f>N63*$B$112</f>
      </c>
    </row>
    <row r="119"/>
    <row r="120">
      <c r="A120" s="1" t="str">
        <v>快手</v>
      </c>
      <c r="B120" s="54">
        <v>0.0007670172723341352</v>
      </c>
    </row>
    <row r="121">
      <c r="B121" s="59" t="str">
        <v>品牌及内容费用</v>
      </c>
      <c r="C121">
        <f>C58*$B$120</f>
      </c>
      <c r="D121">
        <f>D58*$B$120</f>
      </c>
      <c r="E121">
        <f>E58*$B$120</f>
      </c>
      <c r="F121">
        <f>F58*$B$120</f>
      </c>
      <c r="G121">
        <f>G58*$B$120</f>
      </c>
      <c r="H121">
        <f>H58*$B$120</f>
      </c>
      <c r="I121">
        <f>I58*$B$120</f>
      </c>
      <c r="J121">
        <f>J58*$B$120</f>
      </c>
      <c r="K121">
        <f>K58*$B$120</f>
      </c>
      <c r="L121">
        <f>L58*$B$120</f>
      </c>
      <c r="M121">
        <f>M58*$B$120</f>
      </c>
      <c r="N121">
        <f>N58*$B$120</f>
      </c>
    </row>
    <row r="122">
      <c r="B122" s="53" t="str">
        <v>展会</v>
      </c>
      <c r="C122">
        <f>C59*$B$120</f>
      </c>
      <c r="D122">
        <f>D59*$B$120</f>
      </c>
      <c r="E122">
        <f>E59*$B$120</f>
      </c>
      <c r="F122">
        <f>F59*$B$120</f>
      </c>
      <c r="G122">
        <f>G59*$B$120</f>
      </c>
      <c r="H122">
        <f>H59*$B$120</f>
      </c>
      <c r="I122">
        <f>I59*$B$120</f>
      </c>
      <c r="J122">
        <f>J59*$B$120</f>
      </c>
      <c r="K122">
        <f>K59*$B$120</f>
      </c>
      <c r="L122">
        <f>L59*$B$120</f>
      </c>
      <c r="M122">
        <f>M59*$B$120</f>
      </c>
      <c r="N122">
        <f>N59*$B$120</f>
      </c>
    </row>
    <row r="123">
      <c r="B123" s="53" t="str">
        <v>品牌营销</v>
      </c>
      <c r="C123">
        <f>C60*$B$120</f>
      </c>
      <c r="D123">
        <f>D60*$B$120</f>
      </c>
      <c r="E123">
        <f>E60*$B$120</f>
      </c>
      <c r="F123">
        <f>F60*$B$120</f>
      </c>
      <c r="G123">
        <f>G60*$B$120</f>
      </c>
      <c r="H123">
        <f>H60*$B$120</f>
      </c>
      <c r="I123">
        <f>I60*$B$120</f>
      </c>
      <c r="J123">
        <f>J60*$B$120</f>
      </c>
      <c r="K123">
        <f>K60*$B$120</f>
      </c>
      <c r="L123">
        <f>L60*$B$120</f>
      </c>
      <c r="M123">
        <f>M60*$B$120</f>
      </c>
      <c r="N123">
        <f>N60*$B$120</f>
      </c>
    </row>
    <row r="124">
      <c r="B124" s="53" t="str">
        <v>内容素材制作</v>
      </c>
      <c r="C124">
        <f>C61*$B$120</f>
      </c>
      <c r="D124">
        <f>D61*$B$120</f>
      </c>
      <c r="E124">
        <f>E61*$B$120</f>
      </c>
      <c r="F124">
        <f>F61*$B$120</f>
      </c>
      <c r="G124">
        <f>G61*$B$120</f>
      </c>
      <c r="H124">
        <f>H61*$B$120</f>
      </c>
      <c r="I124">
        <f>I61*$B$120</f>
      </c>
      <c r="J124">
        <f>J61*$B$120</f>
      </c>
      <c r="K124">
        <f>K61*$B$120</f>
      </c>
      <c r="L124">
        <f>L61*$B$120</f>
      </c>
      <c r="M124">
        <f>M61*$B$120</f>
      </c>
      <c r="N124">
        <f>N61*$B$120</f>
      </c>
    </row>
    <row r="125">
      <c r="B125" s="53" t="str">
        <v>公关费用</v>
      </c>
      <c r="C125">
        <f>C62*$B$120</f>
      </c>
      <c r="D125">
        <f>D62*$B$120</f>
      </c>
      <c r="E125">
        <f>E62*$B$120</f>
      </c>
      <c r="F125">
        <f>F62*$B$120</f>
      </c>
      <c r="G125">
        <f>G62*$B$120</f>
      </c>
      <c r="H125">
        <f>H62*$B$120</f>
      </c>
      <c r="I125">
        <f>I62*$B$120</f>
      </c>
      <c r="J125">
        <f>J62*$B$120</f>
      </c>
      <c r="K125">
        <f>K62*$B$120</f>
      </c>
      <c r="L125">
        <f>L62*$B$120</f>
      </c>
      <c r="M125">
        <f>M62*$B$120</f>
      </c>
      <c r="N125">
        <f>N62*$B$120</f>
      </c>
    </row>
    <row r="126">
      <c r="B126" s="53" t="str">
        <v>达人种草、样机及加热</v>
      </c>
      <c r="C126">
        <f>C63*$B$120</f>
      </c>
      <c r="D126">
        <f>D63*$B$120</f>
      </c>
      <c r="E126">
        <f>E63*$B$120</f>
      </c>
      <c r="F126">
        <f>F63*$B$120</f>
      </c>
      <c r="G126">
        <f>G63*$B$120</f>
      </c>
      <c r="H126">
        <f>H63*$B$120</f>
      </c>
      <c r="I126">
        <f>I63*$B$120</f>
      </c>
      <c r="J126">
        <f>J63*$B$120</f>
      </c>
      <c r="K126">
        <f>K63*$B$120</f>
      </c>
      <c r="L126">
        <f>L63*$B$120</f>
      </c>
      <c r="M126">
        <f>M63*$B$120</f>
      </c>
      <c r="N126">
        <f>N63*$B$120</f>
      </c>
    </row>
    <row r="127"/>
    <row r="128">
      <c r="A128" s="1" t="str">
        <v>唯品会</v>
      </c>
      <c r="B128" s="54">
        <v>0.003782758057546035</v>
      </c>
    </row>
    <row r="129">
      <c r="B129" s="59" t="str">
        <v>品牌及内容费用</v>
      </c>
      <c r="C129">
        <f>C58*$B$128</f>
      </c>
      <c r="D129">
        <f>D58*$B$128</f>
      </c>
      <c r="E129">
        <f>E58*$B$128</f>
      </c>
      <c r="F129">
        <f>F58*$B$128</f>
      </c>
      <c r="G129">
        <f>G58*$B$128</f>
      </c>
      <c r="H129">
        <f>H58*$B$128</f>
      </c>
      <c r="I129">
        <f>I58*$B$128</f>
      </c>
      <c r="J129">
        <f>J58*$B$128</f>
      </c>
      <c r="K129">
        <f>K58*$B$128</f>
      </c>
      <c r="L129">
        <f>L58*$B$128</f>
      </c>
      <c r="M129">
        <f>M58*$B$128</f>
      </c>
      <c r="N129">
        <f>N58*$B$128</f>
      </c>
    </row>
    <row r="130">
      <c r="B130" s="53" t="str">
        <v>展会</v>
      </c>
      <c r="C130">
        <f>C59*$B$128</f>
      </c>
      <c r="D130">
        <f>D59*$B$128</f>
      </c>
      <c r="E130">
        <f>E59*$B$128</f>
      </c>
      <c r="F130">
        <f>F59*$B$128</f>
      </c>
      <c r="G130">
        <f>G59*$B$128</f>
      </c>
      <c r="H130">
        <f>H59*$B$128</f>
      </c>
      <c r="I130">
        <f>I59*$B$128</f>
      </c>
      <c r="J130">
        <f>J59*$B$128</f>
      </c>
      <c r="K130">
        <f>K59*$B$128</f>
      </c>
      <c r="L130">
        <f>L59*$B$128</f>
      </c>
      <c r="M130">
        <f>M59*$B$128</f>
      </c>
      <c r="N130">
        <f>N59*$B$128</f>
      </c>
    </row>
    <row r="131">
      <c r="B131" s="53" t="str">
        <v>品牌营销</v>
      </c>
      <c r="C131">
        <f>C60*$B$128</f>
      </c>
      <c r="D131">
        <f>D60*$B$128</f>
      </c>
      <c r="E131">
        <f>E60*$B$128</f>
      </c>
      <c r="F131">
        <f>F60*$B$128</f>
      </c>
      <c r="G131">
        <f>G60*$B$128</f>
      </c>
      <c r="H131">
        <f>H60*$B$128</f>
      </c>
      <c r="I131">
        <f>I60*$B$128</f>
      </c>
      <c r="J131">
        <f>J60*$B$128</f>
      </c>
      <c r="K131">
        <f>K60*$B$128</f>
      </c>
      <c r="L131">
        <f>L60*$B$128</f>
      </c>
      <c r="M131">
        <f>M60*$B$128</f>
      </c>
      <c r="N131">
        <f>N60*$B$128</f>
      </c>
    </row>
    <row r="132">
      <c r="B132" s="53" t="str">
        <v>内容素材制作</v>
      </c>
      <c r="C132">
        <f>C61*$B$128</f>
      </c>
      <c r="D132">
        <f>D61*$B$128</f>
      </c>
      <c r="E132">
        <f>E61*$B$128</f>
      </c>
      <c r="F132">
        <f>F61*$B$128</f>
      </c>
      <c r="G132">
        <f>G61*$B$128</f>
      </c>
      <c r="H132">
        <f>H61*$B$128</f>
      </c>
      <c r="I132">
        <f>I61*$B$128</f>
      </c>
      <c r="J132">
        <f>J61*$B$128</f>
      </c>
      <c r="K132">
        <f>K61*$B$128</f>
      </c>
      <c r="L132">
        <f>L61*$B$128</f>
      </c>
      <c r="M132">
        <f>M61*$B$128</f>
      </c>
      <c r="N132">
        <f>N61*$B$128</f>
      </c>
    </row>
    <row r="133">
      <c r="B133" s="53" t="str">
        <v>公关费用</v>
      </c>
      <c r="C133">
        <f>C62*$B$128</f>
      </c>
      <c r="D133">
        <f>D62*$B$128</f>
      </c>
      <c r="E133">
        <f>E62*$B$128</f>
      </c>
      <c r="F133">
        <f>F62*$B$128</f>
      </c>
      <c r="G133">
        <f>G62*$B$128</f>
      </c>
      <c r="H133">
        <f>H62*$B$128</f>
      </c>
      <c r="I133">
        <f>I62*$B$128</f>
      </c>
      <c r="J133">
        <f>J62*$B$128</f>
      </c>
      <c r="K133">
        <f>K62*$B$128</f>
      </c>
      <c r="L133">
        <f>L62*$B$128</f>
      </c>
      <c r="M133">
        <f>M62*$B$128</f>
      </c>
      <c r="N133">
        <f>N62*$B$128</f>
      </c>
    </row>
    <row r="134">
      <c r="B134" s="53" t="str">
        <v>达人种草、样机及加热</v>
      </c>
      <c r="C134">
        <f>C63*$B$128</f>
      </c>
      <c r="D134">
        <f>D63*$B$128</f>
      </c>
      <c r="E134">
        <f>E63*$B$128</f>
      </c>
      <c r="F134">
        <f>F63*$B$128</f>
      </c>
      <c r="G134">
        <f>G63*$B$128</f>
      </c>
      <c r="H134">
        <f>H63*$B$128</f>
      </c>
      <c r="I134">
        <f>I63*$B$128</f>
      </c>
      <c r="J134">
        <f>J63*$B$128</f>
      </c>
      <c r="K134">
        <f>K63*$B$128</f>
      </c>
      <c r="L134">
        <f>L63*$B$128</f>
      </c>
      <c r="M134">
        <f>M63*$B$128</f>
      </c>
      <c r="N134">
        <f>N63*$B$128</f>
      </c>
    </row>
    <row r="135"/>
    <row r="136">
      <c r="A136" s="1" t="str">
        <v>线下门店-直营</v>
      </c>
      <c r="B136" s="54">
        <v>0.011105901847076195</v>
      </c>
    </row>
    <row r="137">
      <c r="B137" s="59" t="str">
        <v>品牌及内容费用</v>
      </c>
      <c r="C137">
        <f>C58*$B$136</f>
      </c>
      <c r="D137">
        <f>D58*$B$136</f>
      </c>
      <c r="E137">
        <f>E58*$B$136</f>
      </c>
      <c r="F137">
        <f>F58*$B$136</f>
      </c>
      <c r="G137">
        <f>G58*$B$136</f>
      </c>
      <c r="H137">
        <f>H58*$B$136</f>
      </c>
      <c r="I137">
        <f>I58*$B$136</f>
      </c>
      <c r="J137">
        <f>J58*$B$136</f>
      </c>
      <c r="K137">
        <f>K58*$B$136</f>
      </c>
      <c r="L137">
        <f>L58*$B$136</f>
      </c>
      <c r="M137">
        <f>M58*$B$136</f>
      </c>
      <c r="N137">
        <f>N58*$B$136</f>
      </c>
    </row>
    <row r="138">
      <c r="B138" s="53" t="str">
        <v>展会</v>
      </c>
      <c r="C138">
        <f>C59*$B$136</f>
      </c>
      <c r="D138">
        <f>D59*$B$136</f>
      </c>
      <c r="E138">
        <f>E59*$B$136</f>
      </c>
      <c r="F138">
        <f>F59*$B$136</f>
      </c>
      <c r="G138">
        <f>G59*$B$136</f>
      </c>
      <c r="H138">
        <f>H59*$B$136</f>
      </c>
      <c r="I138">
        <f>I59*$B$136</f>
      </c>
      <c r="J138">
        <f>J59*$B$136</f>
      </c>
      <c r="K138">
        <f>K59*$B$136</f>
      </c>
      <c r="L138">
        <f>L59*$B$136</f>
      </c>
      <c r="M138">
        <f>M59*$B$136</f>
      </c>
      <c r="N138">
        <f>N59*$B$136</f>
      </c>
    </row>
    <row r="139">
      <c r="B139" s="53" t="str">
        <v>品牌营销</v>
      </c>
      <c r="C139">
        <f>C60*$B$136</f>
      </c>
      <c r="D139">
        <f>D60*$B$136</f>
      </c>
      <c r="E139">
        <f>E60*$B$136</f>
      </c>
      <c r="F139">
        <f>F60*$B$136</f>
      </c>
      <c r="G139">
        <f>G60*$B$136</f>
      </c>
      <c r="H139">
        <f>H60*$B$136</f>
      </c>
      <c r="I139">
        <f>I60*$B$136</f>
      </c>
      <c r="J139">
        <f>J60*$B$136</f>
      </c>
      <c r="K139">
        <f>K60*$B$136</f>
      </c>
      <c r="L139">
        <f>L60*$B$136</f>
      </c>
      <c r="M139">
        <f>M60*$B$136</f>
      </c>
      <c r="N139">
        <f>N60*$B$136</f>
      </c>
    </row>
    <row r="140">
      <c r="B140" s="53" t="str">
        <v>内容素材制作</v>
      </c>
      <c r="C140">
        <f>C61*$B$136</f>
      </c>
      <c r="D140">
        <f>D61*$B$136</f>
      </c>
      <c r="E140">
        <f>E61*$B$136</f>
      </c>
      <c r="F140">
        <f>F61*$B$136</f>
      </c>
      <c r="G140">
        <f>G61*$B$136</f>
      </c>
      <c r="H140">
        <f>H61*$B$136</f>
      </c>
      <c r="I140">
        <f>I61*$B$136</f>
      </c>
      <c r="J140">
        <f>J61*$B$136</f>
      </c>
      <c r="K140">
        <f>K61*$B$136</f>
      </c>
      <c r="L140">
        <f>L61*$B$136</f>
      </c>
      <c r="M140">
        <f>M61*$B$136</f>
      </c>
      <c r="N140">
        <f>N61*$B$136</f>
      </c>
    </row>
    <row r="141">
      <c r="B141" s="53" t="str">
        <v>公关费用</v>
      </c>
      <c r="C141">
        <f>C62*$B$136</f>
      </c>
      <c r="D141">
        <f>D62*$B$136</f>
      </c>
      <c r="E141">
        <f>E62*$B$136</f>
      </c>
      <c r="F141">
        <f>F62*$B$136</f>
      </c>
      <c r="G141">
        <f>G62*$B$136</f>
      </c>
      <c r="H141">
        <f>H62*$B$136</f>
      </c>
      <c r="I141">
        <f>I62*$B$136</f>
      </c>
      <c r="J141">
        <f>J62*$B$136</f>
      </c>
      <c r="K141">
        <f>K62*$B$136</f>
      </c>
      <c r="L141">
        <f>L62*$B$136</f>
      </c>
      <c r="M141">
        <f>M62*$B$136</f>
      </c>
      <c r="N141">
        <f>N62*$B$136</f>
      </c>
    </row>
    <row r="142">
      <c r="B142" s="53" t="str">
        <v>达人种草、样机及加热</v>
      </c>
      <c r="C142">
        <f>C63*$B$136</f>
      </c>
      <c r="D142">
        <f>D63*$B$136</f>
      </c>
      <c r="E142">
        <f>E63*$B$136</f>
      </c>
      <c r="F142">
        <f>F63*$B$136</f>
      </c>
      <c r="G142">
        <f>G63*$B$136</f>
      </c>
      <c r="H142">
        <f>H63*$B$136</f>
      </c>
      <c r="I142">
        <f>I63*$B$136</f>
      </c>
      <c r="J142">
        <f>J63*$B$136</f>
      </c>
      <c r="K142">
        <f>K63*$B$136</f>
      </c>
      <c r="L142">
        <f>L63*$B$136</f>
      </c>
      <c r="M142">
        <f>M63*$B$136</f>
      </c>
      <c r="N142">
        <f>N63*$B$136</f>
      </c>
    </row>
    <row r="143"/>
    <row r="144">
      <c r="A144" s="1" t="str">
        <v>线下门店-经销</v>
      </c>
      <c r="B144" s="54">
        <v>0.019521885021359354</v>
      </c>
    </row>
    <row r="145">
      <c r="B145" s="59" t="str">
        <v>品牌及内容费用</v>
      </c>
      <c r="C145">
        <f>C58*$B$144</f>
      </c>
      <c r="D145">
        <f>D58*$B$144</f>
      </c>
      <c r="E145">
        <f>E58*$B$144</f>
      </c>
      <c r="F145">
        <f>F58*$B$144</f>
      </c>
      <c r="G145">
        <f>G58*$B$144</f>
      </c>
      <c r="H145">
        <f>H58*$B$144</f>
      </c>
      <c r="I145">
        <f>I58*$B$144</f>
      </c>
      <c r="J145">
        <f>J58*$B$144</f>
      </c>
      <c r="K145">
        <f>K58*$B$144</f>
      </c>
      <c r="L145">
        <f>L58*$B$144</f>
      </c>
      <c r="M145">
        <f>M58*$B$144</f>
      </c>
      <c r="N145">
        <f>N58*$B$144</f>
      </c>
    </row>
    <row r="146">
      <c r="B146" s="53" t="str">
        <v>展会</v>
      </c>
      <c r="C146">
        <f>C59*$B$144</f>
      </c>
      <c r="D146">
        <f>D59*$B$144</f>
      </c>
      <c r="E146">
        <f>E59*$B$144</f>
      </c>
      <c r="F146">
        <f>F59*$B$144</f>
      </c>
      <c r="G146">
        <f>G59*$B$144</f>
      </c>
      <c r="H146">
        <f>H59*$B$144</f>
      </c>
      <c r="I146">
        <f>I59*$B$144</f>
      </c>
      <c r="J146">
        <f>J59*$B$144</f>
      </c>
      <c r="K146">
        <f>K59*$B$144</f>
      </c>
      <c r="L146">
        <f>L59*$B$144</f>
      </c>
      <c r="M146">
        <f>M59*$B$144</f>
      </c>
      <c r="N146">
        <f>N59*$B$144</f>
      </c>
    </row>
    <row r="147">
      <c r="B147" s="53" t="str">
        <v>品牌营销</v>
      </c>
      <c r="C147">
        <f>C60*$B$144</f>
      </c>
      <c r="D147">
        <f>D60*$B$144</f>
      </c>
      <c r="E147">
        <f>E60*$B$144</f>
      </c>
      <c r="F147">
        <f>F60*$B$144</f>
      </c>
      <c r="G147">
        <f>G60*$B$144</f>
      </c>
      <c r="H147">
        <f>H60*$B$144</f>
      </c>
      <c r="I147">
        <f>I60*$B$144</f>
      </c>
      <c r="J147">
        <f>J60*$B$144</f>
      </c>
      <c r="K147">
        <f>K60*$B$144</f>
      </c>
      <c r="L147">
        <f>L60*$B$144</f>
      </c>
      <c r="M147">
        <f>M60*$B$144</f>
      </c>
      <c r="N147">
        <f>N60*$B$144</f>
      </c>
    </row>
    <row r="148">
      <c r="B148" s="53" t="str">
        <v>内容素材制作</v>
      </c>
      <c r="C148">
        <f>C61*$B$144</f>
      </c>
      <c r="D148">
        <f>D61*$B$144</f>
      </c>
      <c r="E148">
        <f>E61*$B$144</f>
      </c>
      <c r="F148">
        <f>F61*$B$144</f>
      </c>
      <c r="G148">
        <f>G61*$B$144</f>
      </c>
      <c r="H148">
        <f>H61*$B$144</f>
      </c>
      <c r="I148">
        <f>I61*$B$144</f>
      </c>
      <c r="J148">
        <f>J61*$B$144</f>
      </c>
      <c r="K148">
        <f>K61*$B$144</f>
      </c>
      <c r="L148">
        <f>L61*$B$144</f>
      </c>
      <c r="M148">
        <f>M61*$B$144</f>
      </c>
      <c r="N148">
        <f>N61*$B$144</f>
      </c>
    </row>
    <row r="149">
      <c r="B149" s="53" t="str">
        <v>公关费用</v>
      </c>
      <c r="C149">
        <f>C62*$B$144</f>
      </c>
      <c r="D149">
        <f>D62*$B$144</f>
      </c>
      <c r="E149">
        <f>E62*$B$144</f>
      </c>
      <c r="F149">
        <f>F62*$B$144</f>
      </c>
      <c r="G149">
        <f>G62*$B$144</f>
      </c>
      <c r="H149">
        <f>H62*$B$144</f>
      </c>
      <c r="I149">
        <f>I62*$B$144</f>
      </c>
      <c r="J149">
        <f>J62*$B$144</f>
      </c>
      <c r="K149">
        <f>K62*$B$144</f>
      </c>
      <c r="L149">
        <f>L62*$B$144</f>
      </c>
      <c r="M149">
        <f>M62*$B$144</f>
      </c>
      <c r="N149">
        <f>N62*$B$144</f>
      </c>
    </row>
    <row r="150">
      <c r="B150" s="53" t="str">
        <v>达人种草、样机及加热</v>
      </c>
      <c r="C150">
        <f>C63*$B$144</f>
      </c>
      <c r="D150">
        <f>D63*$B$144</f>
      </c>
      <c r="E150">
        <f>E63*$B$144</f>
      </c>
      <c r="F150">
        <f>F63*$B$144</f>
      </c>
      <c r="G150">
        <f>G63*$B$144</f>
      </c>
      <c r="H150">
        <f>H63*$B$144</f>
      </c>
      <c r="I150">
        <f>I63*$B$144</f>
      </c>
      <c r="J150">
        <f>J63*$B$144</f>
      </c>
      <c r="K150">
        <f>K63*$B$144</f>
      </c>
      <c r="L150">
        <f>L63*$B$144</f>
      </c>
      <c r="M150">
        <f>M63*$B$144</f>
      </c>
      <c r="N150">
        <f>N63*$B$144</f>
      </c>
    </row>
    <row r="151"/>
    <row r="152">
      <c r="A152" s="1" t="str">
        <v>线下渠道</v>
      </c>
      <c r="B152" s="54">
        <v>0.12257232730857674</v>
      </c>
    </row>
    <row r="153">
      <c r="B153" s="59" t="str">
        <v>品牌及内容费用</v>
      </c>
      <c r="C153">
        <f>C58*$B$152</f>
      </c>
      <c r="D153">
        <f>D58*$B$152</f>
      </c>
      <c r="E153">
        <f>E58*$B$152</f>
      </c>
      <c r="F153">
        <f>F58*$B$152</f>
      </c>
      <c r="G153">
        <f>G58*$B$152</f>
      </c>
      <c r="H153">
        <f>H58*$B$152</f>
      </c>
      <c r="I153">
        <f>I58*$B$152</f>
      </c>
      <c r="J153">
        <f>J58*$B$152</f>
      </c>
      <c r="K153">
        <f>K58*$B$152</f>
      </c>
      <c r="L153">
        <f>L58*$B$152</f>
      </c>
      <c r="M153">
        <f>M58*$B$152</f>
      </c>
      <c r="N153">
        <f>N58*$B$152</f>
      </c>
    </row>
    <row r="154">
      <c r="B154" s="53" t="str">
        <v>展会</v>
      </c>
      <c r="C154">
        <f>C59*$B$152</f>
      </c>
      <c r="D154">
        <f>D59*$B$152</f>
      </c>
      <c r="E154">
        <f>E59*$B$152</f>
      </c>
      <c r="F154">
        <f>F59*$B$152</f>
      </c>
      <c r="G154">
        <f>G59*$B$152</f>
      </c>
      <c r="H154">
        <f>H59*$B$152</f>
      </c>
      <c r="I154">
        <f>I59*$B$152</f>
      </c>
      <c r="J154">
        <f>J59*$B$152</f>
      </c>
      <c r="K154">
        <f>K59*$B$152</f>
      </c>
      <c r="L154">
        <f>L59*$B$152</f>
      </c>
      <c r="M154">
        <f>M59*$B$152</f>
      </c>
      <c r="N154">
        <f>N59*$B$152</f>
      </c>
    </row>
    <row r="155">
      <c r="B155" s="53" t="str">
        <v>品牌营销</v>
      </c>
      <c r="C155">
        <f>C60*$B$152</f>
      </c>
      <c r="D155">
        <f>D60*$B$152</f>
      </c>
      <c r="E155">
        <f>E60*$B$152</f>
      </c>
      <c r="F155">
        <f>F60*$B$152</f>
      </c>
      <c r="G155">
        <f>G60*$B$152</f>
      </c>
      <c r="H155">
        <f>H60*$B$152</f>
      </c>
      <c r="I155">
        <f>I60*$B$152</f>
      </c>
      <c r="J155">
        <f>J60*$B$152</f>
      </c>
      <c r="K155">
        <f>K60*$B$152</f>
      </c>
      <c r="L155">
        <f>L60*$B$152</f>
      </c>
      <c r="M155">
        <f>M60*$B$152</f>
      </c>
      <c r="N155">
        <f>N60*$B$152</f>
      </c>
    </row>
    <row r="156">
      <c r="B156" s="53" t="str">
        <v>内容素材制作</v>
      </c>
      <c r="C156">
        <f>C61*$B$152</f>
      </c>
      <c r="D156">
        <f>D61*$B$152</f>
      </c>
      <c r="E156">
        <f>E61*$B$152</f>
      </c>
      <c r="F156">
        <f>F61*$B$152</f>
      </c>
      <c r="G156">
        <f>G61*$B$152</f>
      </c>
      <c r="H156">
        <f>H61*$B$152</f>
      </c>
      <c r="I156">
        <f>I61*$B$152</f>
      </c>
      <c r="J156">
        <f>J61*$B$152</f>
      </c>
      <c r="K156">
        <f>K61*$B$152</f>
      </c>
      <c r="L156">
        <f>L61*$B$152</f>
      </c>
      <c r="M156">
        <f>M61*$B$152</f>
      </c>
      <c r="N156">
        <f>N61*$B$152</f>
      </c>
    </row>
    <row r="157">
      <c r="B157" s="53" t="str">
        <v>公关费用</v>
      </c>
      <c r="C157">
        <f>C62*$B$152</f>
      </c>
      <c r="D157">
        <f>D62*$B$152</f>
      </c>
      <c r="E157">
        <f>E62*$B$152</f>
      </c>
      <c r="F157">
        <f>F62*$B$152</f>
      </c>
      <c r="G157">
        <f>G62*$B$152</f>
      </c>
      <c r="H157">
        <f>H62*$B$152</f>
      </c>
      <c r="I157">
        <f>I62*$B$152</f>
      </c>
      <c r="J157">
        <f>J62*$B$152</f>
      </c>
      <c r="K157">
        <f>K62*$B$152</f>
      </c>
      <c r="L157">
        <f>L62*$B$152</f>
      </c>
      <c r="M157">
        <f>M62*$B$152</f>
      </c>
      <c r="N157">
        <f>N62*$B$152</f>
      </c>
    </row>
    <row r="158">
      <c r="B158" s="53" t="str">
        <v>达人种草、样机及加热</v>
      </c>
      <c r="C158">
        <f>C63*$B$152</f>
      </c>
      <c r="D158">
        <f>D63*$B$152</f>
      </c>
      <c r="E158">
        <f>E63*$B$152</f>
      </c>
      <c r="F158">
        <f>F63*$B$152</f>
      </c>
      <c r="G158">
        <f>G63*$B$152</f>
      </c>
      <c r="H158">
        <f>H63*$B$152</f>
      </c>
      <c r="I158">
        <f>I63*$B$152</f>
      </c>
      <c r="J158">
        <f>J63*$B$152</f>
      </c>
      <c r="K158">
        <f>K63*$B$152</f>
      </c>
      <c r="L158">
        <f>L63*$B$152</f>
      </c>
      <c r="M158">
        <f>M63*$B$152</f>
      </c>
      <c r="N158">
        <f>N63*$B$152</f>
      </c>
    </row>
    <row r="159"/>
    <row r="160">
      <c r="A160" s="1" t="str">
        <v>淘系达播</v>
      </c>
      <c r="B160" s="54">
        <v>0.015016044374978105</v>
      </c>
    </row>
    <row r="161">
      <c r="B161" s="59" t="str">
        <v>品牌及内容费用</v>
      </c>
      <c r="C161">
        <f>C58*$B$160</f>
      </c>
      <c r="D161">
        <f>D58*$B$160</f>
      </c>
      <c r="E161">
        <f>E58*$B$160</f>
      </c>
      <c r="F161">
        <f>F58*$B$160</f>
      </c>
      <c r="G161">
        <f>G58*$B$160</f>
      </c>
      <c r="H161">
        <f>H58*$B$160</f>
      </c>
      <c r="I161">
        <f>I58*$B$160</f>
      </c>
      <c r="J161">
        <f>J58*$B$160</f>
      </c>
      <c r="K161">
        <f>K58*$B$160</f>
      </c>
      <c r="L161">
        <f>L58*$B$160</f>
      </c>
      <c r="M161">
        <f>M58*$B$160</f>
      </c>
      <c r="N161">
        <f>N58*$B$160</f>
      </c>
    </row>
    <row r="162">
      <c r="B162" s="53" t="str">
        <v>展会</v>
      </c>
      <c r="C162">
        <f>C59*$B$160</f>
      </c>
      <c r="D162">
        <f>D59*$B$160</f>
      </c>
      <c r="E162">
        <f>E59*$B$160</f>
      </c>
      <c r="F162">
        <f>F59*$B$160</f>
      </c>
      <c r="G162">
        <f>G59*$B$160</f>
      </c>
      <c r="H162">
        <f>H59*$B$160</f>
      </c>
      <c r="I162">
        <f>I59*$B$160</f>
      </c>
      <c r="J162">
        <f>J59*$B$160</f>
      </c>
      <c r="K162">
        <f>K59*$B$160</f>
      </c>
      <c r="L162">
        <f>L59*$B$160</f>
      </c>
      <c r="M162">
        <f>M59*$B$160</f>
      </c>
      <c r="N162">
        <f>N59*$B$160</f>
      </c>
    </row>
    <row r="163">
      <c r="B163" s="53" t="str">
        <v>品牌营销</v>
      </c>
      <c r="C163">
        <f>C60*$B$160</f>
      </c>
      <c r="D163">
        <f>D60*$B$160</f>
      </c>
      <c r="E163">
        <f>E60*$B$160</f>
      </c>
      <c r="F163">
        <f>F60*$B$160</f>
      </c>
      <c r="G163">
        <f>G60*$B$160</f>
      </c>
      <c r="H163">
        <f>H60*$B$160</f>
      </c>
      <c r="I163">
        <f>I60*$B$160</f>
      </c>
      <c r="J163">
        <f>J60*$B$160</f>
      </c>
      <c r="K163">
        <f>K60*$B$160</f>
      </c>
      <c r="L163">
        <f>L60*$B$160</f>
      </c>
      <c r="M163">
        <f>M60*$B$160</f>
      </c>
      <c r="N163">
        <f>N60*$B$160</f>
      </c>
    </row>
    <row r="164">
      <c r="B164" s="53" t="str">
        <v>内容素材制作</v>
      </c>
      <c r="C164">
        <f>C61*$B$160</f>
      </c>
      <c r="D164">
        <f>D61*$B$160</f>
      </c>
      <c r="E164">
        <f>E61*$B$160</f>
      </c>
      <c r="F164">
        <f>F61*$B$160</f>
      </c>
      <c r="G164">
        <f>G61*$B$160</f>
      </c>
      <c r="H164">
        <f>H61*$B$160</f>
      </c>
      <c r="I164">
        <f>I61*$B$160</f>
      </c>
      <c r="J164">
        <f>J61*$B$160</f>
      </c>
      <c r="K164">
        <f>K61*$B$160</f>
      </c>
      <c r="L164">
        <f>L61*$B$160</f>
      </c>
      <c r="M164">
        <f>M61*$B$160</f>
      </c>
      <c r="N164">
        <f>N61*$B$160</f>
      </c>
    </row>
    <row r="165">
      <c r="B165" s="53" t="str">
        <v>公关费用</v>
      </c>
      <c r="C165">
        <f>C62*$B$160</f>
      </c>
      <c r="D165">
        <f>D62*$B$160</f>
      </c>
      <c r="E165">
        <f>E62*$B$160</f>
      </c>
      <c r="F165">
        <f>F62*$B$160</f>
      </c>
      <c r="G165">
        <f>G62*$B$160</f>
      </c>
      <c r="H165">
        <f>H62*$B$160</f>
      </c>
      <c r="I165">
        <f>I62*$B$160</f>
      </c>
      <c r="J165">
        <f>J62*$B$160</f>
      </c>
      <c r="K165">
        <f>K62*$B$160</f>
      </c>
      <c r="L165">
        <f>L62*$B$160</f>
      </c>
      <c r="M165">
        <f>M62*$B$160</f>
      </c>
      <c r="N165">
        <f>N62*$B$160</f>
      </c>
    </row>
    <row r="166">
      <c r="B166" s="53" t="str">
        <v>达人种草、样机及加热</v>
      </c>
      <c r="C166">
        <f>C63*$B$160</f>
      </c>
      <c r="D166">
        <f>D63*$B$160</f>
      </c>
      <c r="E166">
        <f>E63*$B$160</f>
      </c>
      <c r="F166">
        <f>F63*$B$160</f>
      </c>
      <c r="G166">
        <f>G63*$B$160</f>
      </c>
      <c r="H166">
        <f>H63*$B$160</f>
      </c>
      <c r="I166">
        <f>I63*$B$160</f>
      </c>
      <c r="J166">
        <f>J63*$B$160</f>
      </c>
      <c r="K166">
        <f>K63*$B$160</f>
      </c>
      <c r="L166">
        <f>L63*$B$160</f>
      </c>
      <c r="M166">
        <f>M63*$B$160</f>
      </c>
      <c r="N166">
        <f>N63*$B$160</f>
      </c>
    </row>
    <row r="167"/>
    <row r="168">
      <c r="A168" s="1" t="str">
        <v>抖音达播</v>
      </c>
      <c r="B168" s="54">
        <v>0.007738789383290374</v>
      </c>
    </row>
    <row r="169">
      <c r="B169" s="59" t="str">
        <v>品牌及内容费用</v>
      </c>
      <c r="C169">
        <f>C58*$B$168</f>
      </c>
      <c r="D169">
        <f>D58*$B$168</f>
      </c>
      <c r="E169">
        <f>E58*$B$168</f>
      </c>
      <c r="F169">
        <f>F58*$B$168</f>
      </c>
      <c r="G169">
        <f>G58*$B$168</f>
      </c>
      <c r="H169">
        <f>H58*$B$168</f>
      </c>
      <c r="I169">
        <f>I58*$B$168</f>
      </c>
      <c r="J169">
        <f>J58*$B$168</f>
      </c>
      <c r="K169">
        <f>K58*$B$168</f>
      </c>
      <c r="L169">
        <f>L58*$B$168</f>
      </c>
      <c r="M169">
        <f>M58*$B$168</f>
      </c>
      <c r="N169">
        <f>N58*$B$168</f>
      </c>
    </row>
    <row r="170">
      <c r="B170" s="53" t="str">
        <v>展会</v>
      </c>
      <c r="C170">
        <f>C59*$B$168</f>
      </c>
      <c r="D170">
        <f>D59*$B$168</f>
      </c>
      <c r="E170">
        <f>E59*$B$168</f>
      </c>
      <c r="F170">
        <f>F59*$B$168</f>
      </c>
      <c r="G170">
        <f>G59*$B$168</f>
      </c>
      <c r="H170">
        <f>H59*$B$168</f>
      </c>
      <c r="I170">
        <f>I59*$B$168</f>
      </c>
      <c r="J170">
        <f>J59*$B$168</f>
      </c>
      <c r="K170">
        <f>K59*$B$168</f>
      </c>
      <c r="L170">
        <f>L59*$B$168</f>
      </c>
      <c r="M170">
        <f>M59*$B$168</f>
      </c>
      <c r="N170">
        <f>N59*$B$168</f>
      </c>
    </row>
    <row r="171">
      <c r="B171" s="53" t="str">
        <v>品牌营销</v>
      </c>
      <c r="C171">
        <f>C60*$B$168</f>
      </c>
      <c r="D171">
        <f>D60*$B$168</f>
      </c>
      <c r="E171">
        <f>E60*$B$168</f>
      </c>
      <c r="F171">
        <f>F60*$B$168</f>
      </c>
      <c r="G171">
        <f>G60*$B$168</f>
      </c>
      <c r="H171">
        <f>H60*$B$168</f>
      </c>
      <c r="I171">
        <f>I60*$B$168</f>
      </c>
      <c r="J171">
        <f>J60*$B$168</f>
      </c>
      <c r="K171">
        <f>K60*$B$168</f>
      </c>
      <c r="L171">
        <f>L60*$B$168</f>
      </c>
      <c r="M171">
        <f>M60*$B$168</f>
      </c>
      <c r="N171">
        <f>N60*$B$168</f>
      </c>
    </row>
    <row r="172">
      <c r="B172" s="53" t="str">
        <v>内容素材制作</v>
      </c>
      <c r="C172">
        <f>C61*$B$168</f>
      </c>
      <c r="D172">
        <f>D61*$B$168</f>
      </c>
      <c r="E172">
        <f>E61*$B$168</f>
      </c>
      <c r="F172">
        <f>F61*$B$168</f>
      </c>
      <c r="G172">
        <f>G61*$B$168</f>
      </c>
      <c r="H172">
        <f>H61*$B$168</f>
      </c>
      <c r="I172">
        <f>I61*$B$168</f>
      </c>
      <c r="J172">
        <f>J61*$B$168</f>
      </c>
      <c r="K172">
        <f>K61*$B$168</f>
      </c>
      <c r="L172">
        <f>L61*$B$168</f>
      </c>
      <c r="M172">
        <f>M61*$B$168</f>
      </c>
      <c r="N172">
        <f>N61*$B$168</f>
      </c>
    </row>
    <row r="173">
      <c r="B173" s="53" t="str">
        <v>公关费用</v>
      </c>
      <c r="C173">
        <f>C62*$B$168</f>
      </c>
      <c r="D173">
        <f>D62*$B$168</f>
      </c>
      <c r="E173">
        <f>E62*$B$168</f>
      </c>
      <c r="F173">
        <f>F62*$B$168</f>
      </c>
      <c r="G173">
        <f>G62*$B$168</f>
      </c>
      <c r="H173">
        <f>H62*$B$168</f>
      </c>
      <c r="I173">
        <f>I62*$B$168</f>
      </c>
      <c r="J173">
        <f>J62*$B$168</f>
      </c>
      <c r="K173">
        <f>K62*$B$168</f>
      </c>
      <c r="L173">
        <f>L62*$B$168</f>
      </c>
      <c r="M173">
        <f>M62*$B$168</f>
      </c>
      <c r="N173">
        <f>N62*$B$168</f>
      </c>
    </row>
    <row r="174">
      <c r="A174" s="1"/>
      <c r="B174" s="53" t="str">
        <v>达人种草、样机及加热</v>
      </c>
      <c r="C174">
        <f>C63*$B$168</f>
      </c>
      <c r="D174">
        <f>D63*$B$168</f>
      </c>
      <c r="E174">
        <f>E63*$B$168</f>
      </c>
      <c r="F174">
        <f>F63*$B$168</f>
      </c>
      <c r="G174">
        <f>G63*$B$168</f>
      </c>
      <c r="H174">
        <f>H63*$B$168</f>
      </c>
      <c r="I174">
        <f>I63*$B$168</f>
      </c>
      <c r="J174">
        <f>J63*$B$168</f>
      </c>
      <c r="K174">
        <f>K63*$B$168</f>
      </c>
      <c r="L174">
        <f>L63*$B$168</f>
      </c>
      <c r="M174">
        <f>M63*$B$168</f>
      </c>
      <c r="N174">
        <f>N63*$B$168</f>
      </c>
    </row>
  </sheetData>
  <mergeCells>
    <mergeCell ref="L33:M33"/>
    <mergeCell ref="L29:M29"/>
    <mergeCell ref="L21:M21"/>
    <mergeCell ref="L16:M16"/>
    <mergeCell ref="L11:M11"/>
    <mergeCell ref="L4:M4"/>
  </mergeCells>
  <drawing r:id="rId1"/>
  <picture r:id="rId2"/>
</worksheet>
</file>

<file path=xl/worksheets/sheet4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1"/>
    <col collapsed="false" customWidth="true" hidden="false" max="20" min="20" style="0" width="11"/>
    <col collapsed="false" customWidth="true" hidden="false" max="21" min="21" style="0" width="11"/>
    <col collapsed="false" customWidth="true" hidden="false" max="22" min="22" style="0" width="11"/>
    <col collapsed="false" customWidth="true" hidden="false" max="23" min="23" style="0" width="11"/>
    <col collapsed="false" customWidth="true" hidden="false" max="24" min="24" style="0" width="11"/>
    <col collapsed="false" customWidth="true" hidden="false" max="25" min="25" style="0" width="11"/>
    <col collapsed="false" customWidth="true" hidden="false" max="26" min="26" style="0" width="11"/>
    <col collapsed="false" customWidth="true" hidden="false" max="27" min="27" style="0" width="11"/>
    <col collapsed="false" customWidth="true" hidden="false" max="28" min="28" style="0" width="11"/>
    <col collapsed="false" customWidth="true" hidden="false" max="29" min="29" style="0" width="11"/>
    <col collapsed="false" customWidth="true" hidden="false" max="30" min="30" style="0" width="11"/>
    <col collapsed="false" customWidth="true" hidden="false" max="31" min="31" style="0" width="11"/>
    <col collapsed="false" customWidth="true" hidden="false" max="32" min="32" style="0" width="11"/>
    <col collapsed="false" customWidth="true" hidden="false" max="33" min="33" style="0" width="11"/>
    <col collapsed="false" customWidth="true" hidden="false" max="34" min="34" style="0" width="11"/>
    <col collapsed="false" customWidth="true" hidden="false" max="35" min="35" style="0" width="11"/>
    <col collapsed="false" customWidth="true" hidden="false" max="36" min="36" style="0" width="11"/>
    <col collapsed="false" customWidth="true" hidden="false" max="37" min="37" style="0" width="11"/>
    <col collapsed="false" customWidth="true" hidden="false" max="38" min="38" style="0" width="11"/>
    <col collapsed="false" customWidth="true" hidden="false" max="39" min="39" style="0" width="11"/>
    <col collapsed="false" customWidth="true" hidden="false" max="40" min="40" style="0" width="11"/>
    <col collapsed="false" customWidth="true" hidden="false" max="41" min="41" style="0" width="11"/>
    <col collapsed="false" customWidth="true" hidden="false" max="42" min="42" style="0" width="11"/>
    <col collapsed="false" customWidth="true" hidden="false" max="43" min="43" style="0" width="11"/>
    <col collapsed="false" customWidth="true" hidden="false" max="44" min="44" style="0" width="11"/>
    <col collapsed="false" customWidth="true" hidden="false" max="45" min="45" style="0" width="11"/>
    <col collapsed="false" customWidth="true" hidden="false" max="46" min="46" style="0" width="11"/>
    <col collapsed="false" customWidth="true" hidden="false" max="47" min="47" style="0" width="11"/>
    <col collapsed="false" customWidth="true" hidden="false" max="48" min="48" style="0" width="11"/>
    <col collapsed="false" customWidth="true" hidden="false" max="49" min="49" style="0" width="11"/>
    <col collapsed="false" customWidth="true" hidden="false" max="50" min="50" style="0" width="11"/>
    <col collapsed="false" customWidth="true" hidden="false" max="51" min="51" style="0" width="11"/>
    <col collapsed="false" customWidth="true" hidden="false" max="52" min="52" style="0" width="11"/>
    <col collapsed="false" customWidth="true" hidden="false" max="53" min="53" style="0" width="11"/>
    <col collapsed="false" customWidth="true" hidden="false" max="54" min="54" style="0" width="11"/>
    <col collapsed="false" customWidth="true" hidden="false" max="55" min="55" style="0" width="11"/>
    <col collapsed="false" customWidth="true" hidden="false" max="56" min="56" style="0" width="11"/>
  </cols>
  <sheetData>
    <row customHeight="true" ht="19" r="1"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74" t="str">
        <v>备注</v>
      </c>
    </row>
    <row customHeight="true" ht="19" r="2">
      <c r="B2" s="90" t="str">
        <v>退后销量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>
        <f>SUM(C2:N2)</f>
      </c>
      <c r="P2" s="88"/>
    </row>
    <row customHeight="true" ht="19" r="3">
      <c r="A3" s="97"/>
      <c r="B3" s="94" t="str">
        <v>自补前GMV</v>
      </c>
      <c r="C3" s="93">
        <f>C5/(1-$P$11)</f>
      </c>
      <c r="D3" s="93">
        <f>D5/(1-$P$11)</f>
      </c>
      <c r="E3" s="93">
        <f>E5/(1-$P$11)</f>
      </c>
      <c r="F3" s="93">
        <f>F5/(1-$P$11)</f>
      </c>
      <c r="G3" s="93">
        <f>G5/(1-$P$11)</f>
      </c>
      <c r="H3" s="93">
        <f>H5/(1-$P$11)</f>
      </c>
      <c r="I3" s="93">
        <f>I5/(1-$P$11)</f>
      </c>
      <c r="J3" s="93">
        <f>J5/(1-$P$11)</f>
      </c>
      <c r="K3" s="93">
        <f>K5/(1-$P$11)</f>
      </c>
      <c r="L3" s="93">
        <f>L5/(1-$P$11)</f>
      </c>
      <c r="M3" s="93">
        <f>M5/(1-$P$11)</f>
      </c>
      <c r="N3" s="93">
        <f>N5/(1-$P$11)</f>
      </c>
      <c r="O3" s="93">
        <f>SUM(C3:N3)</f>
      </c>
      <c r="P3" s="93"/>
    </row>
    <row customHeight="true" ht="19" r="4">
      <c r="A4" s="92"/>
      <c r="B4" s="94" t="str">
        <v>国补自补费用</v>
      </c>
      <c r="C4" s="93">
        <f>C3*$P$11</f>
      </c>
      <c r="D4" s="93">
        <f>D3*$P$11</f>
      </c>
      <c r="E4" s="93">
        <f>E3*$P$11</f>
      </c>
      <c r="F4" s="93">
        <f>F3*$P$11</f>
      </c>
      <c r="G4" s="93">
        <f>G3*$P$11</f>
      </c>
      <c r="H4" s="93">
        <f>H3*$P$11</f>
      </c>
      <c r="I4" s="93">
        <f>I3*$P$11</f>
      </c>
      <c r="J4" s="93">
        <f>J3*$P$11</f>
      </c>
      <c r="K4" s="93">
        <f>K3*$P$11</f>
      </c>
      <c r="L4" s="93">
        <f>L3*$P$11</f>
      </c>
      <c r="M4" s="93">
        <f>M3*$P$11</f>
      </c>
      <c r="N4" s="93">
        <f>N3*$P$11</f>
      </c>
      <c r="O4" s="93">
        <f>SUM(C4:N4)</f>
      </c>
      <c r="P4" s="93"/>
    </row>
    <row customHeight="true" ht="19" r="5">
      <c r="A5" s="97"/>
      <c r="B5" s="98" t="str">
        <v>GMV（剔除国补的费用后）</v>
      </c>
      <c r="C5" s="95">
        <v>43824375</v>
      </c>
      <c r="D5" s="95">
        <v>35677777.777777776</v>
      </c>
      <c r="E5" s="95">
        <v>35726888.88888889</v>
      </c>
      <c r="F5" s="95">
        <v>29851333.333333332</v>
      </c>
      <c r="G5" s="95">
        <v>63604207.31707317</v>
      </c>
      <c r="H5" s="95">
        <v>55995525</v>
      </c>
      <c r="I5" s="95">
        <v>36105036.585365854</v>
      </c>
      <c r="J5" s="95">
        <v>49791621.95121951</v>
      </c>
      <c r="K5" s="95">
        <v>39717109.756097555</v>
      </c>
      <c r="L5" s="95">
        <v>66929204.819277115</v>
      </c>
      <c r="M5" s="95">
        <v>50704265.06024097</v>
      </c>
      <c r="N5" s="95">
        <v>44348313.25301205</v>
      </c>
      <c r="O5" s="95">
        <f>SUM(C5:N5)</f>
      </c>
      <c r="P5" s="95"/>
    </row>
    <row customHeight="true" ht="19" r="6">
      <c r="A6" s="97"/>
      <c r="B6" s="102" t="str">
        <v>退货率（发货前+后）</v>
      </c>
      <c r="C6" s="103">
        <v>0.2</v>
      </c>
      <c r="D6" s="103">
        <v>0.19</v>
      </c>
      <c r="E6" s="103">
        <v>0.19</v>
      </c>
      <c r="F6" s="103">
        <v>0.19</v>
      </c>
      <c r="G6" s="103">
        <v>0.18</v>
      </c>
      <c r="H6" s="103">
        <v>0.2</v>
      </c>
      <c r="I6" s="103">
        <v>0.18</v>
      </c>
      <c r="J6" s="103">
        <v>0.18</v>
      </c>
      <c r="K6" s="103">
        <v>0.18</v>
      </c>
      <c r="L6" s="103">
        <v>0.17</v>
      </c>
      <c r="M6" s="103">
        <v>0.17</v>
      </c>
      <c r="N6" s="103">
        <v>0.17</v>
      </c>
      <c r="O6" s="104">
        <f>1-O7/O5</f>
      </c>
      <c r="P6" s="103"/>
    </row>
    <row customHeight="true" ht="19" r="7">
      <c r="A7" s="97"/>
      <c r="B7" s="98" t="str">
        <v>GSV（剔除国补费用后）</v>
      </c>
      <c r="C7" s="95">
        <f>C5*(1-C6)</f>
      </c>
      <c r="D7" s="95">
        <f>D5*(1-D6)</f>
      </c>
      <c r="E7" s="95">
        <f>E5*(1-E6)</f>
      </c>
      <c r="F7" s="95">
        <f>F5*(1-F6)</f>
      </c>
      <c r="G7" s="95">
        <f>G5*(1-G6)</f>
      </c>
      <c r="H7" s="95">
        <f>H5*(1-H6)</f>
      </c>
      <c r="I7" s="95">
        <f>I5*(1-I6)</f>
      </c>
      <c r="J7" s="95">
        <f>J5*(1-J6)</f>
      </c>
      <c r="K7" s="95">
        <f>K5*(1-K6)</f>
      </c>
      <c r="L7" s="95">
        <f>L5*(1-L6)</f>
      </c>
      <c r="M7" s="95">
        <f>M5*(1-M6)</f>
      </c>
      <c r="N7" s="95">
        <f>N5*(1-N6)</f>
      </c>
      <c r="O7" s="95">
        <f>SUM(C7:N7)</f>
      </c>
      <c r="P7" s="95"/>
    </row>
    <row customHeight="true" ht="19" r="8">
      <c r="B8" s="90"/>
      <c r="C8" s="88">
        <f>C3*(1-C6)</f>
      </c>
      <c r="D8" s="88">
        <f>D3*(1-D6)</f>
      </c>
      <c r="E8" s="88">
        <f>E3*(1-E6)</f>
      </c>
      <c r="F8" s="88">
        <f>F3*(1-F6)</f>
      </c>
      <c r="G8" s="88">
        <f>G3*(1-G6)</f>
      </c>
      <c r="H8" s="88">
        <f>H3*(1-H6)</f>
      </c>
      <c r="I8" s="88">
        <f>I3*(1-I6)</f>
      </c>
      <c r="J8" s="88">
        <f>J3*(1-J6)</f>
      </c>
      <c r="K8" s="88">
        <f>K3*(1-K6)</f>
      </c>
      <c r="L8" s="88">
        <f>L3*(1-L6)</f>
      </c>
      <c r="M8" s="88">
        <f>M3*(1-M6)</f>
      </c>
      <c r="N8" s="88">
        <f>N3*(1-N6)</f>
      </c>
      <c r="O8" s="95">
        <f>SUM(C8:N8)</f>
      </c>
      <c r="P8" s="101">
        <f>O8/O3</f>
      </c>
    </row>
    <row customHeight="true" ht="19" r="9">
      <c r="A9" s="97"/>
      <c r="B9" s="98" t="str">
        <v>零售价（去除退货后的）</v>
      </c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>
        <f>SUM(C9:N9)</f>
      </c>
      <c r="P9" s="95"/>
    </row>
    <row customHeight="true" ht="19" r="10">
      <c r="B10" s="85" t="str">
        <v>合同折扣及返利 (线下）</v>
      </c>
      <c r="C10" s="84"/>
      <c r="D10" s="84"/>
      <c r="E10" s="84"/>
      <c r="F10" s="84"/>
      <c r="G10" s="84"/>
      <c r="H10" s="84"/>
      <c r="I10" s="84"/>
      <c r="J10" s="84"/>
      <c r="K10" s="84"/>
      <c r="L10" s="84"/>
      <c r="M10" s="84"/>
      <c r="N10" s="84"/>
      <c r="O10" s="84">
        <f>SUM(C10:N10)</f>
      </c>
      <c r="P10" s="84"/>
      <c r="Q10" s="15" t="str">
        <v>线下填写</v>
      </c>
    </row>
    <row customHeight="true" ht="19" r="11">
      <c r="B11" s="85" t="str">
        <v>国补自补 （线上）</v>
      </c>
      <c r="C11" s="84">
        <f>C3*$P$11</f>
      </c>
      <c r="D11" s="84">
        <f>D3*$P$11</f>
      </c>
      <c r="E11" s="84">
        <f>E3*$P$11</f>
      </c>
      <c r="F11" s="84">
        <f>F3*$P$11</f>
      </c>
      <c r="G11" s="84">
        <f>G3*$P$11</f>
      </c>
      <c r="H11" s="84">
        <f>H3*$P$11</f>
      </c>
      <c r="I11" s="84">
        <f>I3*$P$11</f>
      </c>
      <c r="J11" s="84">
        <f>J3*$P$11</f>
      </c>
      <c r="K11" s="84">
        <f>K3*$P$11</f>
      </c>
      <c r="L11" s="84">
        <f>L3*$P$11</f>
      </c>
      <c r="M11" s="84">
        <f>M3*$P$11</f>
      </c>
      <c r="N11" s="84">
        <f>N3*$P$11</f>
      </c>
      <c r="O11" s="84">
        <f>SUM(C11:N11)</f>
      </c>
      <c r="P11" s="86">
        <v>0.1</v>
      </c>
      <c r="Q11" s="15" t="str">
        <v>按照全年拉平10%</v>
      </c>
    </row>
    <row customHeight="true" ht="19" r="12">
      <c r="B12" s="85" t="str">
        <v>红包消费券等促销折扣</v>
      </c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>
        <f>SUM(C12:N12)</f>
      </c>
      <c r="P12" s="84"/>
      <c r="Q12" s="15"/>
    </row>
    <row customHeight="true" ht="19" r="13">
      <c r="B13" s="83" t="str">
        <v>TTL 折扣合计</v>
      </c>
      <c r="C13" s="81">
        <f>SUM(C10:C12)</f>
      </c>
      <c r="D13" s="81">
        <f>SUM(D10:D12)</f>
      </c>
      <c r="E13" s="81">
        <f>SUM(E10:E12)</f>
      </c>
      <c r="F13" s="81">
        <f>SUM(F10:F12)</f>
      </c>
      <c r="G13" s="81">
        <f>SUM(G10:G12)</f>
      </c>
      <c r="H13" s="81">
        <f>SUM(H10:H12)</f>
      </c>
      <c r="I13" s="81">
        <f>SUM(I10:I12)</f>
      </c>
      <c r="J13" s="81">
        <f>SUM(J10:J12)</f>
      </c>
      <c r="K13" s="81">
        <f>SUM(K10:K12)</f>
      </c>
      <c r="L13" s="81">
        <f>SUM(L10:L12)</f>
      </c>
      <c r="M13" s="81">
        <f>SUM(M10:M12)</f>
      </c>
      <c r="N13" s="81">
        <f>SUM(N10:N12)</f>
      </c>
      <c r="O13" s="81">
        <f>SUM(C13:N13)</f>
      </c>
      <c r="P13" s="81"/>
    </row>
    <row customHeight="true" ht="19" r="14">
      <c r="A14" s="97"/>
      <c r="B14" s="98" t="str">
        <v>GSV</v>
      </c>
      <c r="C14" s="95">
        <f>C7</f>
      </c>
      <c r="D14" s="95">
        <f>D7</f>
      </c>
      <c r="E14" s="95">
        <f>E7</f>
      </c>
      <c r="F14" s="95">
        <f>F7</f>
      </c>
      <c r="G14" s="95">
        <f>G7</f>
      </c>
      <c r="H14" s="95">
        <f>H7</f>
      </c>
      <c r="I14" s="95">
        <f>I7</f>
      </c>
      <c r="J14" s="95">
        <f>J7</f>
      </c>
      <c r="K14" s="95">
        <f>K7</f>
      </c>
      <c r="L14" s="95">
        <f>L7</f>
      </c>
      <c r="M14" s="95">
        <f>M7</f>
      </c>
      <c r="N14" s="95">
        <f>N7</f>
      </c>
      <c r="O14" s="95">
        <f>SUM(C14:N14)</f>
      </c>
      <c r="P14" s="95"/>
    </row>
    <row customHeight="true" ht="19" r="15">
      <c r="A15" s="97"/>
      <c r="B15" s="98" t="str">
        <v>营业收入</v>
      </c>
      <c r="C15" s="95">
        <f>+C7/1.13</f>
      </c>
      <c r="D15" s="95">
        <f>+D7/1.13</f>
      </c>
      <c r="E15" s="95">
        <f>+E7/1.13</f>
      </c>
      <c r="F15" s="95">
        <f>+F7/1.13</f>
      </c>
      <c r="G15" s="95">
        <f>+G7/1.13</f>
      </c>
      <c r="H15" s="95">
        <f>+H7/1.13</f>
      </c>
      <c r="I15" s="95">
        <f>+I7/1.13</f>
      </c>
      <c r="J15" s="95">
        <f>+J7/1.13</f>
      </c>
      <c r="K15" s="95">
        <f>+K7/1.13</f>
      </c>
      <c r="L15" s="95">
        <f>+L7/1.13</f>
      </c>
      <c r="M15" s="95">
        <f>+M7/1.13</f>
      </c>
      <c r="N15" s="95">
        <f>+N7/1.13</f>
      </c>
      <c r="O15" s="95">
        <f>SUM(C15:N15)</f>
      </c>
      <c r="P15" s="95"/>
    </row>
    <row customHeight="true" ht="20" r="16"/>
    <row customHeight="true" ht="19" r="17">
      <c r="B17" s="85" t="str">
        <v>标准主品配件成本</v>
      </c>
      <c r="C17" s="84">
        <f>C15*(1-C22)</f>
      </c>
      <c r="D17" s="84">
        <f>D15*(1-D22)</f>
      </c>
      <c r="E17" s="84">
        <f>E15*(1-E22)</f>
      </c>
      <c r="F17" s="84">
        <f>F15*(1-F22)</f>
      </c>
      <c r="G17" s="84">
        <f>G15*(1-G22)</f>
      </c>
      <c r="H17" s="84">
        <f>H15*(1-H22)</f>
      </c>
      <c r="I17" s="84">
        <f>I15*(1-I22)</f>
      </c>
      <c r="J17" s="84">
        <f>J15*(1-J22)</f>
      </c>
      <c r="K17" s="84">
        <f>K15*(1-K22)</f>
      </c>
      <c r="L17" s="84">
        <f>L15*(1-L22)</f>
      </c>
      <c r="M17" s="84">
        <f>M15*(1-M22)</f>
      </c>
      <c r="N17" s="84">
        <f>N15*(1-N22)</f>
      </c>
      <c r="O17" s="84">
        <f>SUM(C17:N17)</f>
      </c>
      <c r="P17" s="86">
        <f>O17/O15</f>
      </c>
    </row>
    <row customHeight="true" ht="19" r="18">
      <c r="B18" s="83" t="str">
        <v>产品毛利</v>
      </c>
      <c r="C18" s="81">
        <f>C15-C17</f>
      </c>
      <c r="D18" s="81">
        <f>D15-D17</f>
      </c>
      <c r="E18" s="81">
        <f>E15-E17</f>
      </c>
      <c r="F18" s="81">
        <f>F15-F17</f>
      </c>
      <c r="G18" s="81">
        <f>G15-G17</f>
      </c>
      <c r="H18" s="81">
        <f>H15-H17</f>
      </c>
      <c r="I18" s="81">
        <f>I15-I17</f>
      </c>
      <c r="J18" s="81">
        <f>J15-J17</f>
      </c>
      <c r="K18" s="81">
        <f>K15-K17</f>
      </c>
      <c r="L18" s="81">
        <f>L15-L17</f>
      </c>
      <c r="M18" s="81">
        <f>M15-M17</f>
      </c>
      <c r="N18" s="81">
        <f>N15-N17</f>
      </c>
      <c r="O18" s="81">
        <f>SUM(C18:N18)</f>
      </c>
      <c r="P18" s="82">
        <f>O18/$O$15</f>
      </c>
    </row>
    <row customHeight="true" ht="19" r="19">
      <c r="A19" s="88"/>
      <c r="B19" s="90" t="str">
        <v>头程/尾程物流/仓储费用</v>
      </c>
      <c r="C19" s="110">
        <f>C15*2.5%</f>
      </c>
      <c r="D19" s="110">
        <f>D15*2.5%</f>
      </c>
      <c r="E19" s="110">
        <f>E15*2.5%</f>
      </c>
      <c r="F19" s="110">
        <f>F15*2.5%</f>
      </c>
      <c r="G19" s="110">
        <f>G15*2.5%</f>
      </c>
      <c r="H19" s="110">
        <f>H15*2.5%</f>
      </c>
      <c r="I19" s="110">
        <f>I15*2.5%</f>
      </c>
      <c r="J19" s="110">
        <f>J15*2.5%</f>
      </c>
      <c r="K19" s="110">
        <f>K15*2.5%</f>
      </c>
      <c r="L19" s="110">
        <f>L15*2.5%</f>
      </c>
      <c r="M19" s="110">
        <f>M15*2.5%</f>
      </c>
      <c r="N19" s="110">
        <f>N15*2.5%</f>
      </c>
      <c r="O19" s="110">
        <f>SUM(C19:N19)</f>
      </c>
      <c r="P19" s="111">
        <v>0.025</v>
      </c>
      <c r="Q19" s="15" t="str">
        <v>按照全年平均2.5%</v>
      </c>
    </row>
    <row customHeight="true" ht="19" r="20">
      <c r="B20" s="83" t="str">
        <v>成本合计（产品+物流）</v>
      </c>
      <c r="C20" s="81">
        <f>SUM(C17,C19)</f>
      </c>
      <c r="D20" s="81">
        <f>SUM(D17,D19)</f>
      </c>
      <c r="E20" s="81">
        <f>SUM(E17,E19)</f>
      </c>
      <c r="F20" s="81">
        <f>SUM(F17,F19)</f>
      </c>
      <c r="G20" s="81">
        <f>SUM(G17,G19)</f>
      </c>
      <c r="H20" s="81">
        <f>SUM(H17,H19)</f>
      </c>
      <c r="I20" s="81">
        <f>SUM(I17,I19)</f>
      </c>
      <c r="J20" s="81">
        <f>SUM(J17,J19)</f>
      </c>
      <c r="K20" s="81">
        <f>SUM(K17,K19)</f>
      </c>
      <c r="L20" s="81">
        <f>SUM(L17,L19)</f>
      </c>
      <c r="M20" s="81">
        <f>SUM(M17,M19)</f>
      </c>
      <c r="N20" s="81">
        <f>SUM(N17,N19)</f>
      </c>
      <c r="O20" s="81">
        <f>SUM(C20:N20)</f>
      </c>
      <c r="P20" s="82">
        <f>O20/$O$15</f>
      </c>
    </row>
    <row customHeight="true" ht="19" r="21">
      <c r="A21" s="97"/>
      <c r="B21" s="98" t="str">
        <v>净毛利</v>
      </c>
      <c r="C21" s="95">
        <f>C15-C20</f>
      </c>
      <c r="D21" s="95">
        <f>D15-D20</f>
      </c>
      <c r="E21" s="95">
        <f>E15-E20</f>
      </c>
      <c r="F21" s="95">
        <f>F15-F20</f>
      </c>
      <c r="G21" s="95">
        <f>G15-G20</f>
      </c>
      <c r="H21" s="95">
        <f>H15-H20</f>
      </c>
      <c r="I21" s="95">
        <f>I15-I20</f>
      </c>
      <c r="J21" s="95">
        <f>J15-J20</f>
      </c>
      <c r="K21" s="95">
        <f>K15-K20</f>
      </c>
      <c r="L21" s="95">
        <f>L15-L20</f>
      </c>
      <c r="M21" s="95">
        <f>M15-M20</f>
      </c>
      <c r="N21" s="95">
        <f>N15-N20</f>
      </c>
      <c r="O21" s="95">
        <f>SUM(C21:N21)</f>
      </c>
      <c r="P21" s="96">
        <f>O21/$O$15</f>
      </c>
    </row>
    <row customHeight="true" ht="19" r="22">
      <c r="B22" s="102" t="str">
        <v>实际产品毛利率</v>
      </c>
      <c r="C22" s="101">
        <v>0.51</v>
      </c>
      <c r="D22" s="101">
        <v>0.52</v>
      </c>
      <c r="E22" s="101">
        <v>0.53</v>
      </c>
      <c r="F22" s="101">
        <v>0.54</v>
      </c>
      <c r="G22" s="101">
        <v>0.55</v>
      </c>
      <c r="H22" s="101">
        <v>0.56</v>
      </c>
      <c r="I22" s="101">
        <v>0.57</v>
      </c>
      <c r="J22" s="101">
        <v>0.59</v>
      </c>
      <c r="K22" s="101">
        <v>0.6</v>
      </c>
      <c r="L22" s="101">
        <v>0.61</v>
      </c>
      <c r="M22" s="101">
        <v>0.62</v>
      </c>
      <c r="N22" s="101">
        <v>0.63</v>
      </c>
      <c r="O22" s="101">
        <f>O18/$O$15</f>
      </c>
      <c r="P22" s="91"/>
    </row>
    <row customHeight="true" ht="19" r="23">
      <c r="B23" s="102" t="str">
        <v>合计毛利率</v>
      </c>
      <c r="C23" s="101">
        <f>IFERROR(1-C20/C15,0)</f>
      </c>
      <c r="D23" s="101">
        <f>IFERROR(1-D20/D15,0)</f>
      </c>
      <c r="E23" s="101">
        <f>IFERROR(1-E20/E15,0)</f>
      </c>
      <c r="F23" s="101">
        <f>IFERROR(1-F20/F15,0)</f>
      </c>
      <c r="G23" s="101">
        <f>IFERROR(1-G20/G15,0)</f>
      </c>
      <c r="H23" s="101">
        <f>IFERROR(1-H20/H15,0)</f>
      </c>
      <c r="I23" s="101">
        <f>IFERROR(1-I20/I15,0)</f>
      </c>
      <c r="J23" s="101">
        <f>IFERROR(1-J20/J15,0)</f>
      </c>
      <c r="K23" s="101">
        <f>IFERROR(1-K20/K15,0)</f>
      </c>
      <c r="L23" s="101">
        <f>IFERROR(1-L20/L15,0)</f>
      </c>
      <c r="M23" s="101">
        <f>IFERROR(1-M20/M15,0)</f>
      </c>
      <c r="N23" s="101">
        <f>IFERROR(1-N20/N15,0)</f>
      </c>
      <c r="O23" s="101">
        <f>IFERROR(1-O20/O15,0)</f>
      </c>
      <c r="P23" s="91"/>
    </row>
    <row customHeight="true" ht="19" r="24"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91"/>
    </row>
    <row customHeight="true" ht="19" r="25">
      <c r="B25" s="85" t="str">
        <v>品牌及内容费用</v>
      </c>
      <c r="C25" s="84">
        <f>SUM(C26:C30)</f>
      </c>
      <c r="D25" s="84">
        <f>SUM(D26:D30)</f>
      </c>
      <c r="E25" s="84">
        <f>SUM(E26:E30)</f>
      </c>
      <c r="F25" s="84">
        <f>SUM(F26:F30)</f>
      </c>
      <c r="G25" s="84">
        <f>SUM(G26:G30)</f>
      </c>
      <c r="H25" s="84">
        <f>SUM(H26:H30)</f>
      </c>
      <c r="I25" s="84">
        <f>SUM(I26:I30)</f>
      </c>
      <c r="J25" s="84">
        <f>SUM(J26:J30)</f>
      </c>
      <c r="K25" s="84">
        <f>SUM(K26:K30)</f>
      </c>
      <c r="L25" s="84">
        <f>SUM(L26:L30)</f>
      </c>
      <c r="M25" s="84">
        <f>SUM(M26:M30)</f>
      </c>
      <c r="N25" s="84">
        <f>SUM(N26:N30)</f>
      </c>
      <c r="O25" s="84">
        <f>SUM(C25:N25)</f>
      </c>
      <c r="P25" s="86">
        <f>O25/$O$15</f>
      </c>
    </row>
    <row customHeight="true" ht="19" r="26">
      <c r="A26" s="88"/>
      <c r="B26" s="90" t="str">
        <v>展会</v>
      </c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8">
        <f>SUM(C26:N26)</f>
      </c>
      <c r="P26" s="91">
        <f>O26/$O$15</f>
      </c>
      <c r="Q26" s="87"/>
    </row>
    <row customHeight="true" ht="19" r="27">
      <c r="A27" s="88"/>
      <c r="B27" s="90" t="str">
        <v>品牌营销</v>
      </c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8">
        <f>SUM(C27:N27)</f>
      </c>
      <c r="P27" s="91">
        <f>O27/$O$15</f>
      </c>
      <c r="Q27" s="87"/>
    </row>
    <row customHeight="true" ht="19" r="28">
      <c r="A28" s="88"/>
      <c r="B28" s="90" t="str">
        <v>内容素材制作</v>
      </c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8">
        <f>SUM(C28:N28)</f>
      </c>
      <c r="P28" s="91">
        <f>O28/$O$15</f>
      </c>
    </row>
    <row customHeight="true" ht="19" r="29">
      <c r="A29" s="88"/>
      <c r="B29" s="90" t="str">
        <v>公关费用</v>
      </c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8">
        <f>SUM(C29:N29)</f>
      </c>
      <c r="P29" s="91">
        <f>O29/$O$15</f>
      </c>
    </row>
    <row customHeight="true" ht="19" r="30">
      <c r="A30" s="88"/>
      <c r="B30" s="90" t="str">
        <v>达人种草、样机及加热</v>
      </c>
      <c r="C30" s="89">
        <f>C15*C35</f>
      </c>
      <c r="D30" s="89">
        <f>D15*D35</f>
      </c>
      <c r="E30" s="89">
        <f>E15*E35</f>
      </c>
      <c r="F30" s="89">
        <f>F15*F35</f>
      </c>
      <c r="G30" s="89">
        <f>G15*G35</f>
      </c>
      <c r="H30" s="89">
        <f>H15*H35</f>
      </c>
      <c r="I30" s="89">
        <f>I15*I35</f>
      </c>
      <c r="J30" s="89">
        <f>J15*J35</f>
      </c>
      <c r="K30" s="89">
        <f>K15*K35</f>
      </c>
      <c r="L30" s="89">
        <f>L15*L35</f>
      </c>
      <c r="M30" s="89">
        <f>M15*M35</f>
      </c>
      <c r="N30" s="89">
        <f>N15*N35</f>
      </c>
      <c r="O30" s="88">
        <f>SUM(C30:N30)</f>
      </c>
      <c r="P30" s="91">
        <f>O30/$O$15</f>
      </c>
    </row>
    <row customHeight="true" ht="19" outlineLevel="1" r="31">
      <c r="A31" s="88"/>
      <c r="B31" s="90" t="str">
        <v>展会(费率)</v>
      </c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91"/>
    </row>
    <row customHeight="true" ht="19" outlineLevel="1" r="32">
      <c r="A32" s="88"/>
      <c r="B32" s="90" t="str">
        <v>品牌营销（费率）</v>
      </c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91"/>
    </row>
    <row customHeight="true" ht="19" outlineLevel="1" r="33">
      <c r="A33" s="88"/>
      <c r="B33" s="90" t="str">
        <v>内容素材制作（费率）</v>
      </c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91"/>
    </row>
    <row customHeight="true" ht="19" outlineLevel="1" r="34">
      <c r="A34" s="88"/>
      <c r="B34" s="90" t="str">
        <v>公关费用（费率）</v>
      </c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91"/>
    </row>
    <row customHeight="true" ht="19" outlineLevel="1" r="35">
      <c r="A35" s="88"/>
      <c r="B35" s="90" t="str">
        <v>达人种草、样机及加热（费率）</v>
      </c>
      <c r="C35" s="105">
        <v>0.12</v>
      </c>
      <c r="D35" s="105">
        <v>0.04</v>
      </c>
      <c r="E35" s="105">
        <v>0.1</v>
      </c>
      <c r="F35" s="105">
        <v>0.05</v>
      </c>
      <c r="G35" s="105">
        <v>0.12</v>
      </c>
      <c r="H35" s="105">
        <v>0.07</v>
      </c>
      <c r="I35" s="105">
        <v>0.06</v>
      </c>
      <c r="J35" s="105">
        <v>0.06</v>
      </c>
      <c r="K35" s="105">
        <v>0.03</v>
      </c>
      <c r="L35" s="105">
        <v>0.08</v>
      </c>
      <c r="M35" s="105">
        <v>0.05</v>
      </c>
      <c r="N35" s="105">
        <v>0.04</v>
      </c>
      <c r="O35" s="88"/>
      <c r="P35" s="91"/>
    </row>
    <row customHeight="true" ht="19" r="36">
      <c r="B36" s="85" t="str">
        <v>效果广告</v>
      </c>
      <c r="C36" s="84">
        <f>SUM(C37:C39)</f>
      </c>
      <c r="D36" s="84">
        <f>SUM(D37:D39)</f>
      </c>
      <c r="E36" s="84">
        <f>SUM(E37:E39)</f>
      </c>
      <c r="F36" s="84">
        <f>SUM(F37:F39)</f>
      </c>
      <c r="G36" s="84">
        <f>SUM(G37:G39)</f>
      </c>
      <c r="H36" s="84">
        <f>SUM(H37:H39)</f>
      </c>
      <c r="I36" s="84">
        <f>SUM(I37:I39)</f>
      </c>
      <c r="J36" s="84">
        <f>SUM(J37:J39)</f>
      </c>
      <c r="K36" s="84">
        <f>SUM(K37:K39)</f>
      </c>
      <c r="L36" s="84">
        <f>SUM(L37:L39)</f>
      </c>
      <c r="M36" s="84">
        <f>SUM(M37:M39)</f>
      </c>
      <c r="N36" s="84">
        <f>SUM(N37:N39)</f>
      </c>
      <c r="O36" s="84">
        <f>SUM(C36:N36)</f>
      </c>
      <c r="P36" s="86">
        <f>O36/$O$15</f>
      </c>
    </row>
    <row customHeight="true" ht="19" r="37">
      <c r="A37" s="88"/>
      <c r="B37" s="90" t="str">
        <v>站内投放</v>
      </c>
      <c r="C37" s="99">
        <f>C$15*C40</f>
      </c>
      <c r="D37" s="99">
        <f>D$15*D40</f>
      </c>
      <c r="E37" s="99">
        <f>E$15*E40</f>
      </c>
      <c r="F37" s="99">
        <f>F$15*F40</f>
      </c>
      <c r="G37" s="99">
        <f>G$15*G40</f>
      </c>
      <c r="H37" s="99">
        <f>H$15*H40</f>
      </c>
      <c r="I37" s="99">
        <f>I$15*I40</f>
      </c>
      <c r="J37" s="99">
        <f>J$15*J40</f>
      </c>
      <c r="K37" s="99">
        <f>K$15*K40</f>
      </c>
      <c r="L37" s="99">
        <f>L$15*L40</f>
      </c>
      <c r="M37" s="99">
        <f>M$15*M40</f>
      </c>
      <c r="N37" s="99">
        <f>N$15*N40</f>
      </c>
      <c r="O37" s="88">
        <f>SUM(C37:N37)</f>
      </c>
      <c r="P37" s="91">
        <f>O37/$O$15</f>
      </c>
      <c r="Q37" s="15" t="str">
        <v>全年平均14%</v>
      </c>
    </row>
    <row customHeight="true" ht="19" r="38">
      <c r="A38" s="88"/>
      <c r="B38" s="90" t="str">
        <v>千川投放</v>
      </c>
      <c r="C38" s="99">
        <f>C$15*C41</f>
      </c>
      <c r="D38" s="99">
        <f>D$15*D41</f>
      </c>
      <c r="E38" s="99">
        <f>E$15*E41</f>
      </c>
      <c r="F38" s="99">
        <f>F$15*F41</f>
      </c>
      <c r="G38" s="99">
        <f>G$15*G41</f>
      </c>
      <c r="H38" s="99">
        <f>H$15*H41</f>
      </c>
      <c r="I38" s="99">
        <f>I$15*I41</f>
      </c>
      <c r="J38" s="99">
        <f>J$15*J41</f>
      </c>
      <c r="K38" s="99">
        <f>K$15*K41</f>
      </c>
      <c r="L38" s="99">
        <f>L$15*L41</f>
      </c>
      <c r="M38" s="99">
        <f>M$15*M41</f>
      </c>
      <c r="N38" s="99">
        <f>N$15*N41</f>
      </c>
      <c r="O38" s="88">
        <f>SUM(C38:N38)</f>
      </c>
      <c r="P38" s="91">
        <f>O38/$O$15</f>
      </c>
      <c r="Q38" s="15" t="str">
        <v>全年平均6%</v>
      </c>
    </row>
    <row customHeight="true" ht="19" r="39">
      <c r="A39" s="88"/>
      <c r="B39" s="90" t="str">
        <v>站外投放</v>
      </c>
      <c r="C39" s="99">
        <f>C$15*C42</f>
      </c>
      <c r="D39" s="99">
        <f>D$15*D42</f>
      </c>
      <c r="E39" s="99">
        <f>E$15*E42</f>
      </c>
      <c r="F39" s="99">
        <f>F$15*F42</f>
      </c>
      <c r="G39" s="99">
        <f>G$15*G42</f>
      </c>
      <c r="H39" s="99">
        <f>H$15*H42</f>
      </c>
      <c r="I39" s="99">
        <f>I$15*I42</f>
      </c>
      <c r="J39" s="99">
        <f>J$15*J42</f>
      </c>
      <c r="K39" s="99">
        <f>K$15*K42</f>
      </c>
      <c r="L39" s="99">
        <f>L$15*L42</f>
      </c>
      <c r="M39" s="99">
        <f>M$15*M42</f>
      </c>
      <c r="N39" s="99">
        <f>N$15*N42</f>
      </c>
      <c r="O39" s="88">
        <f>SUM(C39:N39)</f>
      </c>
      <c r="P39" s="91">
        <f>O39/$O$15</f>
      </c>
      <c r="Q39" s="15" t="str">
        <v>全年平均2%</v>
      </c>
    </row>
    <row customHeight="true" ht="19" outlineLevel="1" r="40">
      <c r="A40" s="88"/>
      <c r="B40" s="90" t="str">
        <v>站内投放（费率）</v>
      </c>
      <c r="C40" s="105">
        <v>0.14</v>
      </c>
      <c r="D40" s="105">
        <v>0.14</v>
      </c>
      <c r="E40" s="105">
        <v>0.14</v>
      </c>
      <c r="F40" s="105">
        <v>0.14</v>
      </c>
      <c r="G40" s="105">
        <v>0.14</v>
      </c>
      <c r="H40" s="105">
        <v>0.14</v>
      </c>
      <c r="I40" s="105">
        <v>0.14</v>
      </c>
      <c r="J40" s="105">
        <v>0.14</v>
      </c>
      <c r="K40" s="105">
        <v>0.14</v>
      </c>
      <c r="L40" s="105">
        <v>0.14</v>
      </c>
      <c r="M40" s="105">
        <v>0.14</v>
      </c>
      <c r="N40" s="105">
        <v>0.14</v>
      </c>
      <c r="O40" s="91">
        <f>O37/$O$15</f>
      </c>
      <c r="Q40" s="87"/>
    </row>
    <row customHeight="true" ht="19" outlineLevel="1" r="41">
      <c r="A41" s="88"/>
      <c r="B41" s="90" t="str">
        <v>千川投放（费率）</v>
      </c>
      <c r="C41" s="105">
        <v>0.06</v>
      </c>
      <c r="D41" s="105">
        <v>0.06</v>
      </c>
      <c r="E41" s="105">
        <v>0.06</v>
      </c>
      <c r="F41" s="105">
        <v>0.06</v>
      </c>
      <c r="G41" s="105">
        <v>0.06</v>
      </c>
      <c r="H41" s="105">
        <v>0.06</v>
      </c>
      <c r="I41" s="105">
        <v>0.06</v>
      </c>
      <c r="J41" s="105">
        <v>0.06</v>
      </c>
      <c r="K41" s="105">
        <v>0.06</v>
      </c>
      <c r="L41" s="105">
        <v>0.06</v>
      </c>
      <c r="M41" s="105">
        <v>0.06</v>
      </c>
      <c r="N41" s="105">
        <v>0.06</v>
      </c>
      <c r="O41" s="91">
        <f>O38/$O$15</f>
      </c>
      <c r="Q41" s="87"/>
    </row>
    <row customHeight="true" ht="19" outlineLevel="1" r="42">
      <c r="A42" s="88"/>
      <c r="B42" s="90" t="str">
        <v>站外投放（费率）</v>
      </c>
      <c r="C42" s="105">
        <v>0.02</v>
      </c>
      <c r="D42" s="105">
        <v>0.02</v>
      </c>
      <c r="E42" s="105">
        <v>0.02</v>
      </c>
      <c r="F42" s="105">
        <v>0.02</v>
      </c>
      <c r="G42" s="105">
        <v>0.02</v>
      </c>
      <c r="H42" s="105">
        <v>0.02</v>
      </c>
      <c r="I42" s="105">
        <v>0.02</v>
      </c>
      <c r="J42" s="105">
        <v>0.02</v>
      </c>
      <c r="K42" s="105">
        <v>0.02</v>
      </c>
      <c r="L42" s="105">
        <v>0.02</v>
      </c>
      <c r="M42" s="105">
        <v>0.02</v>
      </c>
      <c r="N42" s="105">
        <v>0.02</v>
      </c>
      <c r="O42" s="91">
        <f>O39/$O$15</f>
      </c>
      <c r="Q42" s="87"/>
    </row>
    <row customHeight="true" ht="19" r="43">
      <c r="B43" s="85" t="str">
        <v>线上营销费用</v>
      </c>
      <c r="C43" s="84">
        <f>SUM(C44:C45)</f>
      </c>
      <c r="D43" s="84">
        <f>SUM(D44:D45)</f>
      </c>
      <c r="E43" s="84">
        <f>SUM(E44:E45)</f>
      </c>
      <c r="F43" s="84">
        <f>SUM(F44:F45)</f>
      </c>
      <c r="G43" s="84">
        <f>SUM(G44:G45)</f>
      </c>
      <c r="H43" s="84">
        <f>SUM(H44:H45)</f>
      </c>
      <c r="I43" s="84">
        <f>SUM(I44:I45)</f>
      </c>
      <c r="J43" s="84">
        <f>SUM(J44:J45)</f>
      </c>
      <c r="K43" s="84">
        <f>SUM(K44:K45)</f>
      </c>
      <c r="L43" s="84">
        <f>SUM(L44:L45)</f>
      </c>
      <c r="M43" s="84">
        <f>SUM(M44:M45)</f>
      </c>
      <c r="N43" s="84">
        <f>SUM(N44:N45)</f>
      </c>
      <c r="O43" s="84">
        <f>SUM(C43:N43)</f>
      </c>
      <c r="P43" s="86">
        <f>O43/$O$15</f>
      </c>
    </row>
    <row customHeight="true" ht="19" r="44">
      <c r="A44" s="88"/>
      <c r="B44" s="90" t="str">
        <v>直播费用</v>
      </c>
      <c r="C44" s="89">
        <f>C15*$P$44</f>
      </c>
      <c r="D44" s="89">
        <f>D15*$P$44</f>
      </c>
      <c r="E44" s="89">
        <f>E15*$P$44</f>
      </c>
      <c r="F44" s="89">
        <f>F15*$P$44</f>
      </c>
      <c r="G44" s="89">
        <f>G15*$P$44</f>
      </c>
      <c r="H44" s="89">
        <f>H15*$P$44</f>
      </c>
      <c r="I44" s="89">
        <f>I15*$P$44</f>
      </c>
      <c r="J44" s="89">
        <f>J15*$P$44</f>
      </c>
      <c r="K44" s="89">
        <f>K15*$P$44</f>
      </c>
      <c r="L44" s="89">
        <f>L15*$P$44</f>
      </c>
      <c r="M44" s="89">
        <f>M15*$P$44</f>
      </c>
      <c r="N44" s="89">
        <f>N15*$P$44</f>
      </c>
      <c r="O44" s="88">
        <f>SUM(C44:N44)</f>
      </c>
      <c r="P44" s="91">
        <v>0.01</v>
      </c>
      <c r="Q44" s="15" t="str">
        <v>全年1%</v>
      </c>
    </row>
    <row customHeight="true" ht="19" r="45">
      <c r="A45" s="88"/>
      <c r="B45" s="90" t="str">
        <v>赠品费用</v>
      </c>
      <c r="C45" s="89">
        <f>C15*$P$45</f>
      </c>
      <c r="D45" s="89">
        <f>D15*$P$45</f>
      </c>
      <c r="E45" s="89">
        <f>E15*$P$45</f>
      </c>
      <c r="F45" s="89">
        <f>F15*$P$45</f>
      </c>
      <c r="G45" s="89">
        <f>G15*$P$45</f>
      </c>
      <c r="H45" s="89">
        <f>H15*$P$45</f>
      </c>
      <c r="I45" s="89">
        <f>I15*$P$45</f>
      </c>
      <c r="J45" s="89">
        <f>J15*$P$45</f>
      </c>
      <c r="K45" s="89">
        <f>K15*$P$45</f>
      </c>
      <c r="L45" s="89">
        <f>L15*$P$45</f>
      </c>
      <c r="M45" s="89">
        <f>M15*$P$45</f>
      </c>
      <c r="N45" s="89">
        <f>N15*$P$45</f>
      </c>
      <c r="O45" s="88">
        <f>SUM(C45:N45)</f>
      </c>
      <c r="P45" s="91">
        <v>0.02</v>
      </c>
      <c r="Q45" s="87" t="str">
        <v>全年2%</v>
      </c>
    </row>
    <row customHeight="true" ht="19" r="46">
      <c r="B46" s="85" t="str">
        <v>线下市场费用</v>
      </c>
      <c r="C46" s="84">
        <f>SUM(C47:C50)</f>
      </c>
      <c r="D46" s="84">
        <f>SUM(D47:D50)</f>
      </c>
      <c r="E46" s="84">
        <f>SUM(E47:E50)</f>
      </c>
      <c r="F46" s="84">
        <f>SUM(F47:F50)</f>
      </c>
      <c r="G46" s="84">
        <f>SUM(G47:G50)</f>
      </c>
      <c r="H46" s="84">
        <f>SUM(H47:H50)</f>
      </c>
      <c r="I46" s="84">
        <f>SUM(I47:I50)</f>
      </c>
      <c r="J46" s="84">
        <f>SUM(J47:J50)</f>
      </c>
      <c r="K46" s="84">
        <f>SUM(K47:K50)</f>
      </c>
      <c r="L46" s="84">
        <f>SUM(L47:L50)</f>
      </c>
      <c r="M46" s="84">
        <f>SUM(M47:M50)</f>
      </c>
      <c r="N46" s="84">
        <f>SUM(N47:N50)</f>
      </c>
      <c r="O46" s="84">
        <f>SUM(C46:N46)</f>
      </c>
      <c r="P46" s="86">
        <f>O46/$O$15</f>
      </c>
    </row>
    <row customHeight="true" ht="19" r="47">
      <c r="A47" s="88"/>
      <c r="B47" s="90" t="str">
        <v>线下渠道展陈、促销费用</v>
      </c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8">
        <f>SUM(C47:N47)</f>
      </c>
      <c r="P47" s="91">
        <f>O47/$O$15</f>
      </c>
      <c r="Q47" s="87"/>
    </row>
    <row customHeight="true" ht="19" r="48">
      <c r="A48" s="88"/>
      <c r="B48" s="90" t="str">
        <v>租金+物业+水电</v>
      </c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8">
        <f>SUM(C48:N48)</f>
      </c>
      <c r="P48" s="91">
        <f>O48/$O$15</f>
      </c>
      <c r="Q48" s="87"/>
    </row>
    <row customHeight="true" ht="19" r="49">
      <c r="A49" s="88"/>
      <c r="B49" s="90" t="str">
        <v>门店人工</v>
      </c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8">
        <f>SUM(C49:N49)</f>
      </c>
      <c r="P49" s="91">
        <f>O49/$O$15</f>
      </c>
      <c r="Q49" s="87"/>
    </row>
    <row customHeight="true" ht="19" r="50">
      <c r="B50" s="90" t="str">
        <v>门店展陈装修等其他</v>
      </c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8">
        <f>SUM(C50:N50)</f>
      </c>
      <c r="P50" s="91">
        <f>O50/$O$15</f>
      </c>
    </row>
    <row customHeight="true" ht="19" r="51">
      <c r="B51" s="83" t="str">
        <v>市场投入费用</v>
      </c>
      <c r="C51" s="81">
        <f>SUM(C25,C36,C43,C46)</f>
      </c>
      <c r="D51" s="81">
        <f>SUM(D25,D36,D43,D46)</f>
      </c>
      <c r="E51" s="81">
        <f>SUM(E25,E36,E43,E46)</f>
      </c>
      <c r="F51" s="81">
        <f>SUM(F25,F36,F43,F46)</f>
      </c>
      <c r="G51" s="81">
        <f>SUM(G25,G36,G43,G46)</f>
      </c>
      <c r="H51" s="81">
        <f>SUM(H25,H36,H43,H46)</f>
      </c>
      <c r="I51" s="81">
        <f>SUM(I25,I36,I43,I46)</f>
      </c>
      <c r="J51" s="81">
        <f>SUM(J25,J36,J43,J46)</f>
      </c>
      <c r="K51" s="81">
        <f>SUM(K25,K36,K43,K46)</f>
      </c>
      <c r="L51" s="81">
        <f>SUM(L25,L36,L43,L46)</f>
      </c>
      <c r="M51" s="81">
        <f>SUM(M25,M36,M43,M46)</f>
      </c>
      <c r="N51" s="81">
        <f>SUM(N25,N36,N43,N46)</f>
      </c>
      <c r="O51" s="81">
        <f>SUM(C51:N51)</f>
      </c>
      <c r="P51" s="82">
        <f>O51/$O$15</f>
      </c>
    </row>
    <row customHeight="true" ht="19" r="52">
      <c r="A52" s="88"/>
      <c r="B52" s="90" t="str">
        <v>平台佣金</v>
      </c>
      <c r="C52" s="89">
        <f>C15*$P$52</f>
      </c>
      <c r="D52" s="89">
        <f>D15*$P$52</f>
      </c>
      <c r="E52" s="89">
        <f>E15*$P$52</f>
      </c>
      <c r="F52" s="89">
        <f>F15*$P$52</f>
      </c>
      <c r="G52" s="89">
        <f>G15*$P$52</f>
      </c>
      <c r="H52" s="89">
        <f>H15*$P$52</f>
      </c>
      <c r="I52" s="89">
        <f>I15*$P$52</f>
      </c>
      <c r="J52" s="89">
        <f>J15*$P$52</f>
      </c>
      <c r="K52" s="89">
        <f>K15*$P$52</f>
      </c>
      <c r="L52" s="89">
        <f>L15*$P$52</f>
      </c>
      <c r="M52" s="89">
        <f>M15*$P$52</f>
      </c>
      <c r="N52" s="89">
        <f>N15*$P$52</f>
      </c>
      <c r="O52" s="88">
        <f>SUM(C52:N52)</f>
      </c>
      <c r="P52" s="91">
        <v>0.053</v>
      </c>
      <c r="Q52" s="87" t="str">
        <v>全年平均5.3%</v>
      </c>
    </row>
    <row customHeight="true" ht="19" r="53">
      <c r="A53" s="88"/>
      <c r="B53" s="90" t="str">
        <v>平台其他费用</v>
      </c>
      <c r="C53" s="89">
        <f>C15*$P$53</f>
      </c>
      <c r="D53" s="89">
        <f>D15*$P$53</f>
      </c>
      <c r="E53" s="89">
        <f>E15*$P$53</f>
      </c>
      <c r="F53" s="89">
        <f>F15*$P$53</f>
      </c>
      <c r="G53" s="89">
        <f>G15*$P$53</f>
      </c>
      <c r="H53" s="89">
        <f>H15*$P$53</f>
      </c>
      <c r="I53" s="89">
        <f>I15*$P$53</f>
      </c>
      <c r="J53" s="89">
        <f>J15*$P$53</f>
      </c>
      <c r="K53" s="89">
        <f>K15*$P$53</f>
      </c>
      <c r="L53" s="89">
        <f>L15*$P$53</f>
      </c>
      <c r="M53" s="89">
        <f>M15*$P$53</f>
      </c>
      <c r="N53" s="89">
        <f>N15*$P$53</f>
      </c>
      <c r="O53" s="88">
        <f>SUM(C53:N53)</f>
      </c>
      <c r="P53" s="91">
        <v>0.014</v>
      </c>
      <c r="Q53" s="100" t="str">
        <v>全年平均1.4%</v>
      </c>
    </row>
    <row customHeight="true" ht="19" r="54">
      <c r="A54" s="88"/>
      <c r="B54" s="90" t="str">
        <v>售后费用</v>
      </c>
      <c r="C54" s="89">
        <f>C15*$P$54</f>
      </c>
      <c r="D54" s="89">
        <f>D15*$P$54</f>
      </c>
      <c r="E54" s="89">
        <f>E15*$P$54</f>
      </c>
      <c r="F54" s="89">
        <f>F15*$P$54</f>
      </c>
      <c r="G54" s="89">
        <f>G15*$P$54</f>
      </c>
      <c r="H54" s="89">
        <f>H15*$P$54</f>
      </c>
      <c r="I54" s="89">
        <f>I15*$P$54</f>
      </c>
      <c r="J54" s="89">
        <f>J15*$P$54</f>
      </c>
      <c r="K54" s="89">
        <f>K15*$P$54</f>
      </c>
      <c r="L54" s="89">
        <f>L15*$P$54</f>
      </c>
      <c r="M54" s="89">
        <f>M15*$P$54</f>
      </c>
      <c r="N54" s="89">
        <f>N15*$P$54</f>
      </c>
      <c r="O54" s="88">
        <f>SUM(C54:N54)</f>
      </c>
      <c r="P54" s="91">
        <v>0.03</v>
      </c>
      <c r="Q54" s="100" t="str">
        <v>全年平均3%</v>
      </c>
    </row>
    <row customHeight="true" ht="19" r="55">
      <c r="A55" s="88"/>
      <c r="B55" s="90" t="str">
        <v>短信及店铺软件</v>
      </c>
      <c r="C55" s="89">
        <f>C15*$P$55</f>
      </c>
      <c r="D55" s="89">
        <f>D15*$P$55</f>
      </c>
      <c r="E55" s="89">
        <f>E15*$P$55</f>
      </c>
      <c r="F55" s="89">
        <f>F15*$P$55</f>
      </c>
      <c r="G55" s="89">
        <f>G15*$P$55</f>
      </c>
      <c r="H55" s="89">
        <f>H15*$P$55</f>
      </c>
      <c r="I55" s="89">
        <f>I15*$P$55</f>
      </c>
      <c r="J55" s="89">
        <f>J15*$P$55</f>
      </c>
      <c r="K55" s="89">
        <f>K15*$P$55</f>
      </c>
      <c r="L55" s="89">
        <f>L15*$P$55</f>
      </c>
      <c r="M55" s="89">
        <f>M15*$P$55</f>
      </c>
      <c r="N55" s="89">
        <f>N15*$P$55</f>
      </c>
      <c r="O55" s="88">
        <f>SUM(C55:N55)</f>
      </c>
      <c r="P55" s="91">
        <v>0.001</v>
      </c>
      <c r="Q55" s="87" t="str">
        <v>全年平均0.1%</v>
      </c>
    </row>
    <row customHeight="true" ht="19" r="56">
      <c r="A56" s="88"/>
      <c r="B56" s="90" t="str">
        <v>其他运营费用（咨询调研等）</v>
      </c>
      <c r="C56" s="89">
        <v>20</v>
      </c>
      <c r="D56" s="89"/>
      <c r="E56" s="89"/>
      <c r="F56" s="89"/>
      <c r="G56" s="89">
        <v>20</v>
      </c>
      <c r="H56" s="89"/>
      <c r="I56" s="89"/>
      <c r="J56" s="89"/>
      <c r="K56" s="89"/>
      <c r="L56" s="89"/>
      <c r="M56" s="89"/>
      <c r="N56" s="89"/>
      <c r="O56" s="88">
        <f>SUM(C56:N56)</f>
      </c>
      <c r="P56" s="91">
        <f>O56/$O$15</f>
      </c>
      <c r="Q56" s="87"/>
    </row>
    <row customHeight="true" ht="19" r="57">
      <c r="B57" s="83" t="str">
        <v>店铺运营费用</v>
      </c>
      <c r="C57" s="81">
        <f>SUM(C52:C56)</f>
      </c>
      <c r="D57" s="81">
        <f>SUM(D52:D56)</f>
      </c>
      <c r="E57" s="81">
        <f>SUM(E52:E56)</f>
      </c>
      <c r="F57" s="81">
        <f>SUM(F52:F56)</f>
      </c>
      <c r="G57" s="81">
        <f>SUM(G52:G56)</f>
      </c>
      <c r="H57" s="81">
        <f>SUM(H52:H56)</f>
      </c>
      <c r="I57" s="81">
        <f>SUM(I52:I56)</f>
      </c>
      <c r="J57" s="81">
        <f>SUM(J52:J56)</f>
      </c>
      <c r="K57" s="81">
        <f>SUM(K52:K56)</f>
      </c>
      <c r="L57" s="81">
        <f>SUM(L52:L56)</f>
      </c>
      <c r="M57" s="81">
        <f>SUM(M52:M56)</f>
      </c>
      <c r="N57" s="81">
        <f>SUM(N52:N56)</f>
      </c>
      <c r="O57" s="81">
        <f>SUM(C57:N57)</f>
      </c>
      <c r="P57" s="82">
        <f>O57/$O$15</f>
      </c>
    </row>
    <row customHeight="true" ht="19" r="58">
      <c r="A58" s="97"/>
      <c r="B58" s="98" t="str">
        <v>A&amp;P 合计数</v>
      </c>
      <c r="C58" s="95">
        <f>SUM(C51,C57)</f>
      </c>
      <c r="D58" s="95">
        <f>SUM(D51,D57)</f>
      </c>
      <c r="E58" s="95">
        <f>SUM(E51,E57)</f>
      </c>
      <c r="F58" s="95">
        <f>SUM(F51,F57)</f>
      </c>
      <c r="G58" s="95">
        <f>SUM(G51,G57)</f>
      </c>
      <c r="H58" s="95">
        <f>SUM(H51,H57)</f>
      </c>
      <c r="I58" s="95">
        <f>SUM(I51,I57)</f>
      </c>
      <c r="J58" s="95">
        <f>SUM(J51,J57)</f>
      </c>
      <c r="K58" s="95">
        <f>SUM(K51,K57)</f>
      </c>
      <c r="L58" s="95">
        <f>SUM(L51,L57)</f>
      </c>
      <c r="M58" s="95">
        <f>SUM(M51,M57)</f>
      </c>
      <c r="N58" s="95">
        <f>SUM(N51,N57)</f>
      </c>
      <c r="O58" s="95">
        <f>SUM(C58:N58)</f>
      </c>
      <c r="P58" s="96">
        <f>O58/$O$15</f>
      </c>
      <c r="Q58" s="97"/>
      <c r="R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/>
      <c r="AK58" s="106"/>
      <c r="AL58" s="106"/>
      <c r="AM58" s="106"/>
      <c r="AN58" s="106"/>
      <c r="AO58" s="106"/>
      <c r="AP58" s="106"/>
      <c r="AQ58" s="106"/>
      <c r="AR58" s="106"/>
      <c r="AS58" s="106"/>
      <c r="AT58" s="106"/>
      <c r="AU58" s="106"/>
      <c r="AV58" s="106"/>
      <c r="AW58" s="106"/>
      <c r="AX58" s="106"/>
      <c r="AY58" s="106"/>
      <c r="AZ58" s="106"/>
      <c r="BA58" s="106"/>
      <c r="BB58" s="106"/>
      <c r="BC58" s="106"/>
      <c r="BD58" s="106"/>
    </row>
    <row customHeight="true" ht="19" r="59">
      <c r="A59" s="97"/>
      <c r="B59" s="98" t="str">
        <v>店铺利润</v>
      </c>
      <c r="C59" s="95">
        <f>C21-C58</f>
      </c>
      <c r="D59" s="95">
        <f>D21-D58</f>
      </c>
      <c r="E59" s="95">
        <f>E21-E58</f>
      </c>
      <c r="F59" s="95">
        <f>F21-F58</f>
      </c>
      <c r="G59" s="95">
        <f>G21-G58</f>
      </c>
      <c r="H59" s="95">
        <f>H21-H58</f>
      </c>
      <c r="I59" s="95">
        <f>I21-I58</f>
      </c>
      <c r="J59" s="95">
        <f>J21-J58</f>
      </c>
      <c r="K59" s="95">
        <f>K21-K58</f>
      </c>
      <c r="L59" s="95">
        <f>L21-L58</f>
      </c>
      <c r="M59" s="95">
        <f>M21-M58</f>
      </c>
      <c r="N59" s="95">
        <f>N21-N58</f>
      </c>
      <c r="O59" s="95">
        <f>SUM(C59:N59)</f>
      </c>
      <c r="P59" s="96">
        <f>O59/$O$15</f>
      </c>
      <c r="Q59" s="97"/>
      <c r="R59" s="107"/>
      <c r="X59" s="107"/>
      <c r="Y59" s="107"/>
      <c r="Z59" s="107"/>
      <c r="AA59" s="107"/>
      <c r="AB59" s="107"/>
      <c r="AC59" s="107"/>
      <c r="AD59" s="107"/>
      <c r="AE59" s="107"/>
      <c r="AF59" s="107"/>
      <c r="AG59" s="107"/>
      <c r="AH59" s="107"/>
      <c r="AI59" s="107"/>
      <c r="AJ59" s="107"/>
      <c r="AK59" s="107"/>
      <c r="AL59" s="107"/>
      <c r="AM59" s="107"/>
      <c r="AN59" s="107"/>
      <c r="AO59" s="107"/>
      <c r="AP59" s="107"/>
      <c r="AQ59" s="107"/>
      <c r="AR59" s="107"/>
      <c r="AS59" s="107"/>
      <c r="AT59" s="107"/>
      <c r="AU59" s="107"/>
      <c r="AV59" s="107"/>
      <c r="AW59" s="107"/>
      <c r="AX59" s="107"/>
      <c r="AY59" s="107"/>
      <c r="AZ59" s="107"/>
      <c r="BA59" s="107"/>
      <c r="BB59" s="107"/>
      <c r="BC59" s="107"/>
      <c r="BD59" s="107"/>
    </row>
  </sheetData>
  <picture r:id="rId1"/>
</worksheet>
</file>

<file path=xl/worksheets/sheet5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2" min="2" style="0" width="14"/>
  </cols>
  <sheetData>
    <row r="1">
      <c r="A1" s="112" t="str">
        <v>目标</v>
      </c>
      <c r="B1" s="108" t="str">
        <v>合计 1-12月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"/>
      <c r="P1" s="1"/>
      <c r="Q1" s="1"/>
      <c r="R1" s="1"/>
      <c r="S1" s="1"/>
      <c r="T1" s="1"/>
      <c r="U1" s="1"/>
    </row>
    <row r="2">
      <c r="A2" s="112" t="str">
        <v>合计</v>
      </c>
      <c r="B2" s="1">
        <f>SUM(C2:N2)</f>
      </c>
      <c r="C2" s="1">
        <f>SUM(C3:C16)</f>
      </c>
      <c r="D2" s="1">
        <f>SUM(D3:D16)</f>
      </c>
      <c r="E2" s="1">
        <f>SUM(E3:E16)</f>
      </c>
      <c r="F2" s="1">
        <f>SUM(F3:F16)</f>
      </c>
      <c r="G2" s="1">
        <f>SUM(G3:G16)</f>
      </c>
      <c r="H2" s="1">
        <f>SUM(H3:H16)</f>
      </c>
      <c r="I2" s="1">
        <f>SUM(I3:I16)</f>
      </c>
      <c r="J2" s="1">
        <f>SUM(J3:J16)</f>
      </c>
      <c r="K2" s="1">
        <f>SUM(K3:K16)</f>
      </c>
      <c r="L2" s="1">
        <f>SUM(L3:L16)</f>
      </c>
      <c r="M2" s="1">
        <f>SUM(M3:M16)</f>
      </c>
      <c r="N2" s="1">
        <f>SUM(N3:N16)</f>
      </c>
      <c r="O2" s="1"/>
      <c r="P2" s="1"/>
      <c r="Q2" s="1"/>
      <c r="R2" s="1"/>
      <c r="S2" s="1"/>
      <c r="T2" s="1"/>
      <c r="U2" s="1"/>
    </row>
    <row r="3">
      <c r="A3" s="112" t="str">
        <v>淘系</v>
      </c>
      <c r="B3" s="1">
        <f>SUM(C3:N3)</f>
      </c>
      <c r="C3" s="1">
        <f>'淘系'!C8</f>
      </c>
      <c r="D3" s="1">
        <f>'淘系'!D8</f>
      </c>
      <c r="E3" s="1">
        <f>'淘系'!E8</f>
      </c>
      <c r="F3" s="1">
        <f>'淘系'!F8</f>
      </c>
      <c r="G3" s="1">
        <f>'淘系'!G8</f>
      </c>
      <c r="H3" s="1">
        <f>'淘系'!H8</f>
      </c>
      <c r="I3" s="1">
        <f>'淘系'!I8</f>
      </c>
      <c r="J3" s="1">
        <f>'淘系'!J8</f>
      </c>
      <c r="K3" s="1">
        <f>'淘系'!K8</f>
      </c>
      <c r="L3" s="1">
        <f>'淘系'!L8</f>
      </c>
      <c r="M3" s="1">
        <f>'淘系'!M8</f>
      </c>
      <c r="N3" s="1">
        <f>'淘系'!N8</f>
      </c>
      <c r="O3" s="1"/>
      <c r="P3" s="1"/>
      <c r="Q3" s="1"/>
      <c r="R3" s="1"/>
      <c r="S3" s="1"/>
      <c r="T3" s="1"/>
      <c r="U3" s="1"/>
    </row>
    <row r="4">
      <c r="A4" s="112" t="str">
        <v>淘系达播</v>
      </c>
      <c r="B4" s="1">
        <f>SUM(C4:N4)</f>
      </c>
      <c r="C4" s="1">
        <f>'淘系达播'!C8</f>
      </c>
      <c r="D4" s="1">
        <f>'淘系达播'!D8</f>
      </c>
      <c r="E4" s="1">
        <f>'淘系达播'!E8</f>
      </c>
      <c r="F4" s="1">
        <f>'淘系达播'!F8</f>
      </c>
      <c r="G4" s="1">
        <f>'淘系达播'!G8</f>
      </c>
      <c r="H4" s="1">
        <f>'淘系达播'!H8</f>
      </c>
      <c r="I4" s="1">
        <f>'淘系达播'!I8</f>
      </c>
      <c r="J4" s="1">
        <f>'淘系达播'!J8</f>
      </c>
      <c r="K4" s="1">
        <f>'淘系达播'!K8</f>
      </c>
      <c r="L4" s="1">
        <f>'淘系达播'!L8</f>
      </c>
      <c r="M4" s="1">
        <f>'淘系达播'!M8</f>
      </c>
      <c r="N4" s="1">
        <f>'淘系达播'!N8</f>
      </c>
      <c r="O4" s="1"/>
      <c r="P4" s="1"/>
      <c r="Q4" s="1"/>
      <c r="R4" s="1"/>
      <c r="S4" s="1"/>
      <c r="T4" s="1"/>
      <c r="U4" s="1"/>
    </row>
    <row r="5">
      <c r="A5" s="112" t="str">
        <v>抖音</v>
      </c>
      <c r="B5" s="1">
        <f>SUM(C5:N5)</f>
      </c>
      <c r="C5" s="1">
        <f>'抖音'!C8</f>
      </c>
      <c r="D5" s="1">
        <f>'抖音'!D8</f>
      </c>
      <c r="E5" s="1">
        <f>'抖音'!E8</f>
      </c>
      <c r="F5" s="1">
        <f>'抖音'!F8</f>
      </c>
      <c r="G5" s="1">
        <f>'抖音'!G8</f>
      </c>
      <c r="H5" s="1">
        <f>'抖音'!H8</f>
      </c>
      <c r="I5" s="1">
        <f>'抖音'!I8</f>
      </c>
      <c r="J5" s="1">
        <f>'抖音'!J8</f>
      </c>
      <c r="K5" s="1">
        <f>'抖音'!K8</f>
      </c>
      <c r="L5" s="1">
        <f>'抖音'!L8</f>
      </c>
      <c r="M5" s="1">
        <f>'抖音'!M8</f>
      </c>
      <c r="N5" s="1">
        <f>'抖音'!N8</f>
      </c>
      <c r="O5" s="1"/>
      <c r="P5" s="1"/>
      <c r="Q5" s="1"/>
      <c r="R5" s="1"/>
      <c r="S5" s="1"/>
      <c r="T5" s="1"/>
      <c r="U5" s="1"/>
    </row>
    <row r="6">
      <c r="A6" s="112" t="str">
        <v>抖音达播</v>
      </c>
      <c r="B6" s="1">
        <f>SUM(C6:N6)</f>
      </c>
      <c r="C6" s="1">
        <f>'抖音达播'!C8</f>
      </c>
      <c r="D6" s="1">
        <f>'抖音达播'!D8</f>
      </c>
      <c r="E6" s="1">
        <f>'抖音达播'!E8</f>
      </c>
      <c r="F6" s="1">
        <f>'抖音达播'!F8</f>
      </c>
      <c r="G6" s="1">
        <f>'抖音达播'!G8</f>
      </c>
      <c r="H6" s="1">
        <f>'抖音达播'!H8</f>
      </c>
      <c r="I6" s="1">
        <f>'抖音达播'!I8</f>
      </c>
      <c r="J6" s="1">
        <f>'抖音达播'!J8</f>
      </c>
      <c r="K6" s="1">
        <f>'抖音达播'!K8</f>
      </c>
      <c r="L6" s="1">
        <f>'抖音达播'!L8</f>
      </c>
      <c r="M6" s="1">
        <f>'抖音达播'!M8</f>
      </c>
      <c r="N6" s="1">
        <f>'抖音达播'!N8</f>
      </c>
      <c r="O6" s="1"/>
      <c r="P6" s="1"/>
      <c r="Q6" s="1"/>
      <c r="R6" s="1"/>
      <c r="S6" s="1"/>
      <c r="T6" s="1"/>
      <c r="U6" s="1"/>
    </row>
    <row r="7">
      <c r="A7" s="112" t="str">
        <v>快手</v>
      </c>
      <c r="B7" s="1">
        <f>SUM(C7:N7)</f>
      </c>
      <c r="C7" s="1">
        <f>'快手'!C8</f>
      </c>
      <c r="D7" s="1">
        <f>'快手'!D8</f>
      </c>
      <c r="E7" s="1">
        <f>'快手'!E8</f>
      </c>
      <c r="F7" s="1">
        <f>'快手'!F8</f>
      </c>
      <c r="G7" s="1">
        <f>'快手'!G8</f>
      </c>
      <c r="H7" s="1">
        <f>'快手'!H8</f>
      </c>
      <c r="I7" s="1">
        <f>'快手'!I8</f>
      </c>
      <c r="J7" s="1">
        <f>'快手'!J8</f>
      </c>
      <c r="K7" s="1">
        <f>'快手'!K8</f>
      </c>
      <c r="L7" s="1">
        <f>'快手'!L8</f>
      </c>
      <c r="M7" s="1">
        <f>'快手'!M8</f>
      </c>
      <c r="N7" s="1">
        <f>'快手'!N8</f>
      </c>
      <c r="O7" s="1"/>
      <c r="P7" s="1"/>
      <c r="Q7" s="1"/>
      <c r="R7" s="1"/>
      <c r="S7" s="1"/>
      <c r="T7" s="1"/>
      <c r="U7" s="1"/>
    </row>
    <row r="8">
      <c r="A8" s="112" t="str">
        <v>京东自营</v>
      </c>
      <c r="B8" s="1">
        <f>SUM(C8:N8)</f>
      </c>
      <c r="C8" s="1">
        <f>'京东自营财经口径'!C8</f>
      </c>
      <c r="D8" s="1">
        <f>'京东自营财经口径'!D8</f>
      </c>
      <c r="E8" s="1">
        <f>'京东自营财经口径'!E8</f>
      </c>
      <c r="F8" s="1">
        <f>'京东自营财经口径'!F8</f>
      </c>
      <c r="G8" s="1">
        <f>'京东自营财经口径'!G8</f>
      </c>
      <c r="H8" s="1">
        <f>'京东自营财经口径'!H8</f>
      </c>
      <c r="I8" s="1">
        <f>'京东自营财经口径'!I8</f>
      </c>
      <c r="J8" s="1">
        <f>'京东自营财经口径'!J8</f>
      </c>
      <c r="K8" s="1">
        <f>'京东自营财经口径'!K8</f>
      </c>
      <c r="L8" s="1">
        <f>'京东自营财经口径'!L8</f>
      </c>
      <c r="M8" s="1">
        <f>'京东自营财经口径'!M8</f>
      </c>
      <c r="N8" s="1">
        <f>'京东自营财经口径'!N8</f>
      </c>
      <c r="O8" s="1"/>
      <c r="P8" s="1"/>
      <c r="Q8" s="1"/>
      <c r="R8" s="1"/>
      <c r="S8" s="1"/>
      <c r="T8" s="1"/>
      <c r="U8" s="1"/>
    </row>
    <row r="9">
      <c r="A9" s="112" t="str">
        <v>京东POP</v>
      </c>
      <c r="B9" s="1">
        <f>SUM(C9:N9)</f>
      </c>
      <c r="C9" s="1">
        <f>'京东POP财经口径'!C8</f>
      </c>
      <c r="D9" s="1">
        <f>'京东POP财经口径'!D8</f>
      </c>
      <c r="E9" s="1">
        <f>'京东POP财经口径'!E8</f>
      </c>
      <c r="F9" s="1">
        <f>'京东POP财经口径'!F8</f>
      </c>
      <c r="G9" s="1">
        <f>'京东POP财经口径'!G8</f>
      </c>
      <c r="H9" s="1">
        <f>'京东POP财经口径'!H8</f>
      </c>
      <c r="I9" s="1">
        <f>'京东POP财经口径'!I8</f>
      </c>
      <c r="J9" s="1">
        <f>'京东POP财经口径'!J8</f>
      </c>
      <c r="K9" s="1">
        <f>'京东POP财经口径'!K8</f>
      </c>
      <c r="L9" s="1">
        <f>'京东POP财经口径'!L8</f>
      </c>
      <c r="M9" s="1">
        <f>'京东POP财经口径'!M8</f>
      </c>
      <c r="N9" s="1">
        <f>'京东POP财经口径'!N8</f>
      </c>
      <c r="O9" s="1"/>
      <c r="P9" s="1"/>
      <c r="Q9" s="1"/>
      <c r="R9" s="1"/>
      <c r="S9" s="1"/>
      <c r="T9" s="1"/>
      <c r="U9" s="1"/>
    </row>
    <row r="10">
      <c r="A10" s="112" t="str">
        <v>PDD</v>
      </c>
      <c r="B10" s="1">
        <f>SUM(C10:N10)</f>
      </c>
      <c r="C10" s="1">
        <f>PDD!C8</f>
      </c>
      <c r="D10" s="1">
        <f>PDD!D8</f>
      </c>
      <c r="E10" s="1">
        <f>PDD!E8</f>
      </c>
      <c r="F10" s="1">
        <f>PDD!F8</f>
      </c>
      <c r="G10" s="1">
        <f>PDD!G8</f>
      </c>
      <c r="H10" s="1">
        <f>PDD!H8</f>
      </c>
      <c r="I10" s="1">
        <f>PDD!I8</f>
      </c>
      <c r="J10" s="1">
        <f>PDD!J8</f>
      </c>
      <c r="K10" s="1">
        <f>PDD!K8</f>
      </c>
      <c r="L10" s="1">
        <f>PDD!L8</f>
      </c>
      <c r="M10" s="1">
        <f>PDD!M8</f>
      </c>
      <c r="N10" s="1">
        <f>PDD!N8</f>
      </c>
      <c r="O10" s="1"/>
      <c r="P10" s="1"/>
      <c r="Q10" s="1"/>
      <c r="R10" s="1"/>
      <c r="S10" s="1"/>
      <c r="T10" s="1"/>
      <c r="U10" s="1"/>
    </row>
    <row r="11">
      <c r="A11" s="112" t="str">
        <v>得物</v>
      </c>
      <c r="B11" s="1">
        <f>SUM(C11:N11)</f>
      </c>
      <c r="C11" s="1">
        <f>'得物'!C8</f>
      </c>
      <c r="D11" s="1">
        <f>'得物'!D8</f>
      </c>
      <c r="E11" s="1">
        <f>'得物'!E8</f>
      </c>
      <c r="F11" s="1">
        <f>'得物'!F8</f>
      </c>
      <c r="G11" s="1">
        <f>'得物'!G8</f>
      </c>
      <c r="H11" s="1">
        <f>'得物'!H8</f>
      </c>
      <c r="I11" s="1">
        <f>'得物'!I8</f>
      </c>
      <c r="J11" s="1">
        <f>'得物'!J8</f>
      </c>
      <c r="K11" s="1">
        <f>'得物'!K8</f>
      </c>
      <c r="L11" s="1">
        <f>'得物'!L8</f>
      </c>
      <c r="M11" s="1">
        <f>'得物'!M8</f>
      </c>
      <c r="N11" s="1">
        <f>'得物'!N8</f>
      </c>
      <c r="O11" s="1"/>
      <c r="P11" s="1"/>
      <c r="Q11" s="1"/>
      <c r="R11" s="1"/>
      <c r="S11" s="1"/>
      <c r="T11" s="1"/>
      <c r="U11" s="1"/>
    </row>
    <row r="12">
      <c r="A12" s="112" t="str">
        <v>视频号+官网+小程序</v>
      </c>
      <c r="B12" s="1">
        <f>SUM(C12:N12)</f>
      </c>
      <c r="C12" s="1">
        <f>'视频号+官网+小程序'!C8</f>
      </c>
      <c r="D12" s="1">
        <f>'视频号+官网+小程序'!D8</f>
      </c>
      <c r="E12" s="1">
        <f>'视频号+官网+小程序'!E8</f>
      </c>
      <c r="F12" s="1">
        <f>'视频号+官网+小程序'!F8</f>
      </c>
      <c r="G12" s="1">
        <f>'视频号+官网+小程序'!G8</f>
      </c>
      <c r="H12" s="1">
        <f>'视频号+官网+小程序'!H8</f>
      </c>
      <c r="I12" s="1">
        <f>'视频号+官网+小程序'!I8</f>
      </c>
      <c r="J12" s="1">
        <f>'视频号+官网+小程序'!J8</f>
      </c>
      <c r="K12" s="1">
        <f>'视频号+官网+小程序'!K8</f>
      </c>
      <c r="L12" s="1">
        <f>'视频号+官网+小程序'!L8</f>
      </c>
      <c r="M12" s="1">
        <f>'视频号+官网+小程序'!M8</f>
      </c>
      <c r="N12" s="1">
        <f>'视频号+官网+小程序'!N8</f>
      </c>
      <c r="O12" s="1"/>
      <c r="P12" s="1"/>
      <c r="Q12" s="1"/>
      <c r="R12" s="1"/>
      <c r="S12" s="1"/>
      <c r="T12" s="1"/>
      <c r="U12" s="1"/>
    </row>
    <row r="13">
      <c r="A13" s="112" t="str">
        <v>唯品会</v>
      </c>
      <c r="B13" s="1">
        <f>SUM(C13:N13)</f>
      </c>
      <c r="C13" s="1">
        <f>'唯品会'!C8</f>
      </c>
      <c r="D13" s="1">
        <f>'唯品会'!D8</f>
      </c>
      <c r="E13" s="1">
        <f>'唯品会'!E8</f>
      </c>
      <c r="F13" s="1">
        <f>'唯品会'!F8</f>
      </c>
      <c r="G13" s="1">
        <f>'唯品会'!G8</f>
      </c>
      <c r="H13" s="1">
        <f>'唯品会'!H8</f>
      </c>
      <c r="I13" s="1">
        <f>'唯品会'!I8</f>
      </c>
      <c r="J13" s="1">
        <f>'唯品会'!J8</f>
      </c>
      <c r="K13" s="1">
        <f>'唯品会'!K8</f>
      </c>
      <c r="L13" s="1">
        <f>'唯品会'!L8</f>
      </c>
      <c r="M13" s="1">
        <f>'唯品会'!M8</f>
      </c>
      <c r="N13" s="1">
        <f>'唯品会'!N8</f>
      </c>
      <c r="O13" s="1"/>
      <c r="P13" s="1"/>
      <c r="Q13" s="1"/>
      <c r="R13" s="1"/>
      <c r="S13" s="1"/>
      <c r="T13" s="1"/>
      <c r="U13" s="1"/>
    </row>
    <row r="14">
      <c r="A14" s="112" t="str">
        <v>线下门店-直营</v>
      </c>
      <c r="B14" s="1">
        <f>SUM(C14:N14)</f>
      </c>
      <c r="C14" s="1">
        <f>'线下门店-直营'!C8</f>
      </c>
      <c r="D14" s="1">
        <f>'线下门店-直营'!D8</f>
      </c>
      <c r="E14" s="1">
        <f>'线下门店-直营'!E8</f>
      </c>
      <c r="F14" s="1">
        <f>'线下门店-直营'!F8</f>
      </c>
      <c r="G14" s="1">
        <f>'线下门店-直营'!G8</f>
      </c>
      <c r="H14" s="1">
        <f>'线下门店-直营'!H8</f>
      </c>
      <c r="I14" s="1">
        <f>'线下门店-直营'!I8</f>
      </c>
      <c r="J14" s="1">
        <f>'线下门店-直营'!J8</f>
      </c>
      <c r="K14" s="1">
        <f>'线下门店-直营'!K8</f>
      </c>
      <c r="L14" s="1">
        <f>'线下门店-直营'!L8</f>
      </c>
      <c r="M14" s="1">
        <f>'线下门店-直营'!M8</f>
      </c>
      <c r="N14" s="1">
        <f>'线下门店-直营'!N8</f>
      </c>
      <c r="O14" s="1"/>
      <c r="P14" s="1"/>
      <c r="Q14" s="1"/>
      <c r="R14" s="1"/>
      <c r="S14" s="1"/>
      <c r="T14" s="1"/>
      <c r="U14" s="1"/>
    </row>
    <row r="15">
      <c r="A15" s="112" t="str">
        <v>线下门店-经销</v>
      </c>
      <c r="B15" s="1">
        <f>SUM(C15:N15)</f>
      </c>
      <c r="C15" s="1">
        <f>'线下门店-经销'!C8</f>
      </c>
      <c r="D15" s="1">
        <f>'线下门店-经销'!D8</f>
      </c>
      <c r="E15" s="1">
        <f>'线下门店-经销'!E8</f>
      </c>
      <c r="F15" s="1">
        <f>'线下门店-经销'!F8</f>
      </c>
      <c r="G15" s="1">
        <f>'线下门店-经销'!G8</f>
      </c>
      <c r="H15" s="1">
        <f>'线下门店-经销'!H8</f>
      </c>
      <c r="I15" s="1">
        <f>'线下门店-经销'!I8</f>
      </c>
      <c r="J15" s="1">
        <f>'线下门店-经销'!J8</f>
      </c>
      <c r="K15" s="1">
        <f>'线下门店-经销'!K8</f>
      </c>
      <c r="L15" s="1">
        <f>'线下门店-经销'!L8</f>
      </c>
      <c r="M15" s="1">
        <f>'线下门店-经销'!M8</f>
      </c>
      <c r="N15" s="1">
        <f>'线下门店-经销'!N8</f>
      </c>
      <c r="O15" s="1"/>
      <c r="P15" s="1"/>
      <c r="Q15" s="1"/>
      <c r="R15" s="1"/>
      <c r="S15" s="1"/>
      <c r="T15" s="1"/>
      <c r="U15" s="1"/>
    </row>
    <row r="16">
      <c r="A16" s="112" t="str">
        <v>线下渠道</v>
      </c>
      <c r="B16" s="1">
        <f>SUM(C16:N16)</f>
      </c>
      <c r="C16" s="1">
        <f>'线下渠道'!C8</f>
      </c>
      <c r="D16" s="1">
        <f>'线下渠道'!D8</f>
      </c>
      <c r="E16" s="1">
        <f>'线下渠道'!E8</f>
      </c>
      <c r="F16" s="1">
        <f>'线下渠道'!F8</f>
      </c>
      <c r="G16" s="1">
        <f>'线下渠道'!G8</f>
      </c>
      <c r="H16" s="1">
        <f>'线下渠道'!H8</f>
      </c>
      <c r="I16" s="1">
        <f>'线下渠道'!I8</f>
      </c>
      <c r="J16" s="1">
        <f>'线下渠道'!J8</f>
      </c>
      <c r="K16" s="1">
        <f>'线下渠道'!K8</f>
      </c>
      <c r="L16" s="1">
        <f>'线下渠道'!L8</f>
      </c>
      <c r="M16" s="1">
        <f>'线下渠道'!M8</f>
      </c>
      <c r="N16" s="1">
        <f>'线下渠道'!N8</f>
      </c>
      <c r="O16" s="1"/>
      <c r="P16" s="1"/>
      <c r="Q16" s="1"/>
      <c r="R16" s="1"/>
      <c r="S16" s="1"/>
      <c r="T16" s="1"/>
      <c r="U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customHeight="true" ht="19" r="18">
      <c r="A18" s="112" t="str">
        <v>店铺利润目标</v>
      </c>
      <c r="B18" s="1">
        <f>SUM(C18:N18)</f>
      </c>
      <c r="C18" s="1">
        <f>'26年全渠道汇总'!C62</f>
      </c>
      <c r="D18" s="1">
        <f>'26年全渠道汇总'!D62</f>
      </c>
      <c r="E18" s="1">
        <f>'26年全渠道汇总'!E62</f>
      </c>
      <c r="F18" s="1">
        <f>'26年全渠道汇总'!F62</f>
      </c>
      <c r="G18" s="1">
        <f>'26年全渠道汇总'!G62</f>
      </c>
      <c r="H18" s="1">
        <f>'26年全渠道汇总'!H62</f>
      </c>
      <c r="I18" s="1">
        <f>'26年全渠道汇总'!I62</f>
      </c>
      <c r="J18" s="1">
        <f>'26年全渠道汇总'!J62</f>
      </c>
      <c r="K18" s="1">
        <f>'26年全渠道汇总'!K62</f>
      </c>
      <c r="L18" s="1">
        <f>'26年全渠道汇总'!L62</f>
      </c>
      <c r="M18" s="1">
        <f>'26年全渠道汇总'!M62</f>
      </c>
      <c r="N18" s="1">
        <f>'26年全渠道汇总'!N62</f>
      </c>
      <c r="O18" s="1"/>
      <c r="P18" s="1"/>
      <c r="Q18" s="1"/>
      <c r="R18" s="1"/>
      <c r="S18" s="1"/>
      <c r="T18" s="1"/>
      <c r="U18" s="1"/>
    </row>
    <row customHeight="true" ht="19"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customHeight="true" ht="19" r="20">
      <c r="A20" s="112" t="str">
        <v>实际达成GSV</v>
      </c>
      <c r="B20" s="108" t="str">
        <v>合计 1-12月</v>
      </c>
      <c r="C20" s="108" t="str">
        <v>1月</v>
      </c>
      <c r="D20" s="108" t="str">
        <v>2月</v>
      </c>
      <c r="E20" s="108" t="str">
        <v>3月</v>
      </c>
      <c r="F20" s="108" t="str">
        <v>4月</v>
      </c>
      <c r="G20" s="108" t="str">
        <v>5月</v>
      </c>
      <c r="H20" s="108" t="str">
        <v>6月</v>
      </c>
      <c r="I20" s="108" t="str">
        <v>7月</v>
      </c>
      <c r="J20" s="108" t="str">
        <v>8月</v>
      </c>
      <c r="K20" s="108" t="str">
        <v>9月</v>
      </c>
      <c r="L20" s="108" t="str">
        <v>10月</v>
      </c>
      <c r="M20" s="108" t="str">
        <v>11月</v>
      </c>
      <c r="N20" s="108" t="str">
        <v>12月</v>
      </c>
      <c r="O20" s="1"/>
      <c r="P20" s="1"/>
      <c r="Q20" s="1"/>
      <c r="R20" s="1"/>
      <c r="S20" s="1"/>
      <c r="T20" s="1"/>
      <c r="U20" s="1"/>
    </row>
    <row r="21">
      <c r="A21" s="112" t="str">
        <v>合计</v>
      </c>
      <c r="B21" s="1">
        <f>SUM(C21:N21)</f>
      </c>
      <c r="C21" s="1">
        <f>SUM(C22:C35)</f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</row>
    <row r="22">
      <c r="A22" s="112" t="str">
        <v>淘系</v>
      </c>
      <c r="B22" s="1">
        <f>SUM(C22:N22)</f>
      </c>
      <c r="C22" s="1">
        <v>8720000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</row>
    <row r="23">
      <c r="A23" s="112" t="str">
        <v>淘系达播</v>
      </c>
      <c r="B23" s="1">
        <f>SUM(C23:N23)</f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</row>
    <row r="24">
      <c r="A24" s="112" t="str">
        <v>抖音</v>
      </c>
      <c r="B24" s="1">
        <f>SUM(C24:N24)</f>
      </c>
      <c r="C24" s="1">
        <v>6860000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</row>
    <row r="25">
      <c r="A25" s="112" t="str">
        <v>抖音达播</v>
      </c>
      <c r="B25" s="1">
        <f>SUM(C25:N25)</f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</row>
    <row r="26">
      <c r="A26" s="112" t="str">
        <v>快手</v>
      </c>
      <c r="B26" s="1">
        <f>SUM(C26:N26)</f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</row>
    <row r="27">
      <c r="A27" s="112" t="str">
        <v>京东自营</v>
      </c>
      <c r="B27" s="1">
        <f>SUM(C27:N27)</f>
      </c>
      <c r="C27" s="1">
        <v>16290000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</row>
    <row r="28">
      <c r="A28" s="112" t="str">
        <v>京东POP</v>
      </c>
      <c r="B28" s="1">
        <f>SUM(C28:N28)</f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</row>
    <row r="29">
      <c r="A29" s="112" t="str">
        <v>PDD</v>
      </c>
      <c r="B29" s="1">
        <f>SUM(C29:N29)</f>
      </c>
      <c r="C29" s="1">
        <v>4640000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</row>
    <row r="30">
      <c r="A30" s="112" t="str">
        <v>得物</v>
      </c>
      <c r="B30" s="1">
        <f>SUM(C30:N30)</f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1">
      <c r="A31" s="112" t="str">
        <v>视频号+官网+小程序</v>
      </c>
      <c r="B31" s="1">
        <f>SUM(C31:N31)</f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</row>
    <row r="32">
      <c r="A32" s="112" t="str">
        <v>唯品会</v>
      </c>
      <c r="B32" s="1">
        <f>SUM(C32:N32)</f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</row>
    <row r="33">
      <c r="A33" s="112" t="str">
        <v>线下门店-直营</v>
      </c>
      <c r="B33" s="1">
        <f>SUM(C33:N33)</f>
      </c>
      <c r="C33" s="1">
        <v>920000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</row>
    <row r="34">
      <c r="A34" s="112" t="str">
        <v>线下门店-经销</v>
      </c>
      <c r="B34" s="1">
        <f>SUM(C34:N34)</f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</row>
    <row r="35">
      <c r="A35" s="112" t="str">
        <v>线下渠道</v>
      </c>
      <c r="B35" s="1">
        <f>SUM(C35:N35)</f>
      </c>
      <c r="C35" s="1">
        <v>8790000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</row>
    <row customHeight="true" ht="19" r="37">
      <c r="A37" s="112" t="str">
        <v>店铺利润实际达成</v>
      </c>
      <c r="B37" s="1"/>
      <c r="C37" s="114">
        <v>1080000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</row>
    <row r="38">
      <c r="A38" s="112" t="str">
        <v>GSV达成率</v>
      </c>
      <c r="B38" s="1"/>
      <c r="C38" s="44">
        <f>C21/C2</f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</row>
    <row r="39">
      <c r="A39" s="112" t="str">
        <v>GSV打超</v>
      </c>
      <c r="B39" s="1"/>
      <c r="C39" s="7">
        <f>C21-C2</f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</row>
    <row r="40">
      <c r="A40" s="112" t="str">
        <v>店铺利润达成率</v>
      </c>
      <c r="B40" s="1"/>
      <c r="C40" s="44">
        <f>C37/C18</f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>
      <c r="A41" s="113" t="str">
        <v>店铺利润打超</v>
      </c>
      <c r="B41" s="1"/>
      <c r="C41" s="7">
        <f>C37-C18</f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</sheetData>
  <mergeCells>
    <mergeCell ref="C22:C23"/>
    <mergeCell ref="C24:C26"/>
    <mergeCell ref="C27:C28"/>
    <mergeCell ref="C29:C32"/>
    <mergeCell ref="C33:C34"/>
  </mergeCells>
  <picture r:id="rId1"/>
</worksheet>
</file>

<file path=xl/worksheets/sheet6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3" xSplit="2" ySplit="2"/>
    </sheetView>
  </sheetViews>
  <sheetFormatPr defaultColWidth="14" defaultRowHeight="19"/>
  <cols>
    <col collapsed="false" customWidth="true" hidden="false" max="1" min="1" style="0" width="4"/>
    <col collapsed="false" customWidth="true" hidden="false" max="2" min="2" style="0" width="20"/>
    <col collapsed="false" customWidth="true" hidden="false" max="3" min="3" style="0" width="16"/>
    <col collapsed="false" customWidth="true" hidden="false" max="4" min="4" style="0" width="16"/>
    <col collapsed="false" customWidth="true" hidden="false" max="5" min="5" style="0" width="16"/>
    <col collapsed="false" customWidth="true" hidden="false" max="6" min="6" style="0" width="16"/>
    <col collapsed="false" customWidth="true" hidden="false" max="7" min="7" style="0" width="16"/>
    <col collapsed="false" customWidth="true" hidden="false" max="8" min="8" style="0" width="16"/>
    <col collapsed="false" customWidth="true" hidden="false" max="9" min="9" style="0" width="16"/>
    <col collapsed="false" customWidth="true" hidden="false" max="10" min="10" style="0" width="16"/>
    <col collapsed="false" customWidth="true" hidden="false" max="11" min="11" style="0" width="16"/>
    <col collapsed="false" customWidth="true" hidden="false" max="12" min="12" style="0" width="16"/>
    <col collapsed="false" customWidth="true" hidden="false" max="13" min="13" style="0" width="16"/>
    <col collapsed="false" customWidth="true" hidden="false" max="14" min="14" style="0" width="16"/>
    <col collapsed="false" customWidth="true" hidden="false" max="15" min="15" style="0" width="16"/>
    <col collapsed="false" customWidth="true" hidden="false" max="16" min="16" style="0" width="16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1"/>
    <col collapsed="false" customWidth="true" hidden="false" max="20" min="20" style="0" width="11"/>
    <col collapsed="false" customWidth="true" hidden="false" max="21" min="21" style="0" width="11"/>
    <col collapsed="false" customWidth="true" hidden="false" max="22" min="22" style="0" width="11"/>
  </cols>
  <sheetData>
    <row r="1">
      <c r="A1" s="1"/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  <c r="R1" s="1"/>
      <c r="S1" s="1"/>
      <c r="T1" s="1"/>
    </row>
    <row r="2">
      <c r="A2" s="1"/>
      <c r="B2" s="90" t="str">
        <v>退后销量</v>
      </c>
      <c r="C2" s="94">
        <f>'淘系'!C2+'抖音'!C2+PDD!C2+'得物'!C2+'京东自营财经口径'!C2+'京东POP财经口径'!C2+'视频号+官网+小程序'!C2+'快手'!C2+'唯品会'!C2+'线下门店-直营'!C2+'线下门店-经销'!C2+'线下渠道'!C2+'淘系达播'!C2+'抖音达播'!C2</f>
      </c>
      <c r="D2" s="94">
        <f>'淘系'!D2+'抖音'!D2+PDD!D2+'得物'!D2+'京东自营财经口径'!D2+'京东POP财经口径'!D2+'视频号+官网+小程序'!D2+'快手'!D2+'唯品会'!D2+'线下门店-直营'!D2+'线下门店-经销'!D2+'线下渠道'!D2+'淘系达播'!D2+'抖音达播'!D2</f>
      </c>
      <c r="E2" s="94">
        <f>'淘系'!E2+'抖音'!E2+PDD!E2+'得物'!E2+'京东自营财经口径'!E2+'京东POP财经口径'!E2+'视频号+官网+小程序'!E2+'快手'!E2+'唯品会'!E2+'线下门店-直营'!E2+'线下门店-经销'!E2+'线下渠道'!E2+'淘系达播'!E2+'抖音达播'!E2</f>
      </c>
      <c r="F2" s="94">
        <f>'淘系'!F2+'抖音'!F2+PDD!F2+'得物'!F2+'京东自营财经口径'!F2+'京东POP财经口径'!F2+'视频号+官网+小程序'!F2+'快手'!F2+'唯品会'!F2+'线下门店-直营'!F2+'线下门店-经销'!F2+'线下渠道'!F2+'淘系达播'!F2+'抖音达播'!F2</f>
      </c>
      <c r="G2" s="94">
        <f>'淘系'!G2+'抖音'!G2+PDD!G2+'得物'!G2+'京东自营财经口径'!G2+'京东POP财经口径'!G2+'视频号+官网+小程序'!G2+'快手'!G2+'唯品会'!G2+'线下门店-直营'!G2+'线下门店-经销'!G2+'线下渠道'!G2+'淘系达播'!G2+'抖音达播'!G2</f>
      </c>
      <c r="H2" s="94">
        <f>'淘系'!H2+'抖音'!H2+PDD!H2+'得物'!H2+'京东自营财经口径'!H2+'京东POP财经口径'!H2+'视频号+官网+小程序'!H2+'快手'!H2+'唯品会'!H2+'线下门店-直营'!H2+'线下门店-经销'!H2+'线下渠道'!H2+'淘系达播'!H2+'抖音达播'!H2</f>
      </c>
      <c r="I2" s="94">
        <f>'淘系'!I2+'抖音'!I2+PDD!I2+'得物'!I2+'京东自营财经口径'!I2+'京东POP财经口径'!I2+'视频号+官网+小程序'!I2+'快手'!I2+'唯品会'!I2+'线下门店-直营'!I2+'线下门店-经销'!I2+'线下渠道'!I2+'淘系达播'!I2+'抖音达播'!I2</f>
      </c>
      <c r="J2" s="94">
        <f>'淘系'!J2+'抖音'!J2+PDD!J2+'得物'!J2+'京东自营财经口径'!J2+'京东POP财经口径'!J2+'视频号+官网+小程序'!J2+'快手'!J2+'唯品会'!J2+'线下门店-直营'!J2+'线下门店-经销'!J2+'线下渠道'!J2+'淘系达播'!J2+'抖音达播'!J2</f>
      </c>
      <c r="K2" s="94">
        <f>'淘系'!K2+'抖音'!K2+PDD!K2+'得物'!K2+'京东自营财经口径'!K2+'京东POP财经口径'!K2+'视频号+官网+小程序'!K2+'快手'!K2+'唯品会'!K2+'线下门店-直营'!K2+'线下门店-经销'!K2+'线下渠道'!K2+'淘系达播'!K2+'抖音达播'!K2</f>
      </c>
      <c r="L2" s="94">
        <f>'淘系'!L2+'抖音'!L2+PDD!L2+'得物'!L2+'京东自营财经口径'!L2+'京东POP财经口径'!L2+'视频号+官网+小程序'!L2+'快手'!L2+'唯品会'!L2+'线下门店-直营'!L2+'线下门店-经销'!L2+'线下渠道'!L2+'淘系达播'!L2+'抖音达播'!L2</f>
      </c>
      <c r="M2" s="94">
        <f>'淘系'!M2+'抖音'!M2+PDD!M2+'得物'!M2+'京东自营财经口径'!M2+'京东POP财经口径'!M2+'视频号+官网+小程序'!M2+'快手'!M2+'唯品会'!M2+'线下门店-直营'!M2+'线下门店-经销'!M2+'线下渠道'!M2+'淘系达播'!M2+'抖音达播'!M2</f>
      </c>
      <c r="N2" s="94">
        <f>'淘系'!N2+'抖音'!N2+PDD!N2+'得物'!N2+'京东自营财经口径'!N2+'京东POP财经口径'!N2+'视频号+官网+小程序'!N2+'快手'!N2+'唯品会'!N2+'线下门店-直营'!N2+'线下门店-经销'!N2+'线下渠道'!N2+'淘系达播'!N2+'抖音达播'!N2</f>
      </c>
      <c r="O2" s="118">
        <f>SUM(C2:N2)</f>
      </c>
      <c r="P2" s="118"/>
      <c r="Q2" s="1"/>
      <c r="T2" s="15"/>
      <c r="U2" s="15"/>
    </row>
    <row customHeight="true" ht="19" r="3">
      <c r="A3" s="135"/>
      <c r="B3" s="94" t="str">
        <v>自补前GMV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>
        <f>SUM(C3:N3)</f>
      </c>
      <c r="P3" s="94"/>
      <c r="Q3" s="146" t="str">
        <v>渠道填写</v>
      </c>
      <c r="R3" s="1"/>
      <c r="S3" s="1"/>
      <c r="T3" s="1"/>
    </row>
    <row customHeight="true" ht="20" r="4">
      <c r="A4" s="135"/>
      <c r="B4" s="94" t="str">
        <v>自补前GSV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>
        <f>SUM(C4:N4)</f>
      </c>
      <c r="P4" s="94"/>
      <c r="Q4" s="146" t="str">
        <v>渠道填写</v>
      </c>
      <c r="R4" s="1"/>
      <c r="S4" s="1"/>
      <c r="T4" s="7"/>
      <c r="U4" s="70"/>
      <c r="V4" s="70"/>
    </row>
    <row r="5">
      <c r="A5" s="135"/>
      <c r="B5" s="94" t="str">
        <v>国补自补费用</v>
      </c>
      <c r="C5" s="94">
        <f>'淘系'!C5+'抖音'!C5+PDD!C5+'得物'!C5+'京东自营财经口径'!C5+'京东POP财经口径'!C5+'视频号+官网+小程序'!C5+'快手'!C5+'唯品会'!C5+'线下门店-直营'!C5+'线下门店-经销'!C5+'线下渠道'!C5+'淘系达播'!C5+'抖音达播'!C5</f>
      </c>
      <c r="D5" s="94">
        <f>'淘系'!D5+'抖音'!D5+PDD!D5+'得物'!D5+'京东自营财经口径'!D5+'京东POP财经口径'!D5+'视频号+官网+小程序'!D5+'快手'!D5+'唯品会'!D5+'线下门店-直营'!D5+'线下门店-经销'!D5+'线下渠道'!D5+'淘系达播'!D5+'抖音达播'!D5</f>
      </c>
      <c r="E5" s="94">
        <f>'淘系'!E5+'抖音'!E5+PDD!E5+'得物'!E5+'京东自营财经口径'!E5+'京东POP财经口径'!E5+'视频号+官网+小程序'!E5+'快手'!E5+'唯品会'!E5+'线下门店-直营'!E5+'线下门店-经销'!E5+'线下渠道'!E5+'淘系达播'!E5+'抖音达播'!E5</f>
      </c>
      <c r="F5" s="94">
        <f>'淘系'!F5+'抖音'!F5+PDD!F5+'得物'!F5+'京东自营财经口径'!F5+'京东POP财经口径'!F5+'视频号+官网+小程序'!F5+'快手'!F5+'唯品会'!F5+'线下门店-直营'!F5+'线下门店-经销'!F5+'线下渠道'!F5+'淘系达播'!F5+'抖音达播'!F5</f>
      </c>
      <c r="G5" s="94">
        <f>'淘系'!G5+'抖音'!G5+PDD!G5+'得物'!G5+'京东自营财经口径'!G5+'京东POP财经口径'!G5+'视频号+官网+小程序'!G5+'快手'!G5+'唯品会'!G5+'线下门店-直营'!G5+'线下门店-经销'!G5+'线下渠道'!G5+'淘系达播'!G5+'抖音达播'!G5</f>
      </c>
      <c r="H5" s="94">
        <f>'淘系'!H5+'抖音'!H5+PDD!H5+'得物'!H5+'京东自营财经口径'!H5+'京东POP财经口径'!H5+'视频号+官网+小程序'!H5+'快手'!H5+'唯品会'!H5+'线下门店-直营'!H5+'线下门店-经销'!H5+'线下渠道'!H5+'淘系达播'!H5+'抖音达播'!H5</f>
      </c>
      <c r="I5" s="94">
        <f>'淘系'!I5+'抖音'!I5+PDD!I5+'得物'!I5+'京东自营财经口径'!I5+'京东POP财经口径'!I5+'视频号+官网+小程序'!I5+'快手'!I5+'唯品会'!I5+'线下门店-直营'!I5+'线下门店-经销'!I5+'线下渠道'!I5+'淘系达播'!I5+'抖音达播'!I5</f>
      </c>
      <c r="J5" s="94">
        <f>'淘系'!J5+'抖音'!J5+PDD!J5+'得物'!J5+'京东自营财经口径'!J5+'京东POP财经口径'!J5+'视频号+官网+小程序'!J5+'快手'!J5+'唯品会'!J5+'线下门店-直营'!J5+'线下门店-经销'!J5+'线下渠道'!J5+'淘系达播'!J5+'抖音达播'!J5</f>
      </c>
      <c r="K5" s="94">
        <f>'淘系'!K5+'抖音'!K5+PDD!K5+'得物'!K5+'京东自营财经口径'!K5+'京东POP财经口径'!K5+'视频号+官网+小程序'!K5+'快手'!K5+'唯品会'!K5+'线下门店-直营'!K5+'线下门店-经销'!K5+'线下渠道'!K5+'淘系达播'!K5+'抖音达播'!K5</f>
      </c>
      <c r="L5" s="94">
        <f>'淘系'!L5+'抖音'!L5+PDD!L5+'得物'!L5+'京东自营财经口径'!L5+'京东POP财经口径'!L5+'视频号+官网+小程序'!L5+'快手'!L5+'唯品会'!L5+'线下门店-直营'!L5+'线下门店-经销'!L5+'线下渠道'!L5+'淘系达播'!L5+'抖音达播'!L5</f>
      </c>
      <c r="M5" s="94">
        <f>'淘系'!M5+'抖音'!M5+PDD!M5+'得物'!M5+'京东自营财经口径'!M5+'京东POP财经口径'!M5+'视频号+官网+小程序'!M5+'快手'!M5+'唯品会'!M5+'线下门店-直营'!M5+'线下门店-经销'!M5+'线下渠道'!M5+'淘系达播'!M5+'抖音达播'!M5</f>
      </c>
      <c r="N5" s="94">
        <f>'淘系'!N5+'抖音'!N5+PDD!N5+'得物'!N5+'京东自营财经口径'!N5+'京东POP财经口径'!N5+'视频号+官网+小程序'!N5+'快手'!N5+'唯品会'!N5+'线下门店-直营'!N5+'线下门店-经销'!N5+'线下渠道'!N5+'淘系达播'!N5+'抖音达播'!N5</f>
      </c>
      <c r="O5" s="94">
        <f>SUM(C5:N5)</f>
      </c>
      <c r="P5" s="94"/>
      <c r="Q5" s="146" t="str">
        <v>渠道填写</v>
      </c>
      <c r="R5" s="1"/>
      <c r="S5" s="1"/>
      <c r="T5" s="7"/>
      <c r="U5" s="70"/>
      <c r="V5" s="70"/>
    </row>
    <row r="6">
      <c r="A6" s="135"/>
      <c r="B6" s="98" t="str">
        <v>GMV（国补后）</v>
      </c>
      <c r="C6" s="98">
        <f>'淘系'!C6+'抖音'!C6+PDD!C6+'得物'!C6+'京东自营财经口径'!C6+'京东POP财经口径'!C6+'视频号+官网+小程序'!C6+'快手'!C6+'唯品会'!C6+'线下门店-直营'!C6++'线下门店-经销'!C6+'线下渠道'!C6+'淘系达播'!C6+'抖音达播'!C6</f>
      </c>
      <c r="D6" s="98">
        <f>'淘系'!D6+'抖音'!D6+PDD!D6+'得物'!D6+'京东自营财经口径'!D6+'京东POP财经口径'!D6+'视频号+官网+小程序'!D6+'快手'!D6+'唯品会'!D6+'线下门店-直营'!D6++'线下门店-经销'!D6+'线下渠道'!D6+'淘系达播'!D6+'抖音达播'!D6</f>
      </c>
      <c r="E6" s="98">
        <f>'淘系'!E6+'抖音'!E6+PDD!E6+'得物'!E6+'京东自营财经口径'!E6+'京东POP财经口径'!E6+'视频号+官网+小程序'!E6+'快手'!E6+'唯品会'!E6+'线下门店-直营'!E6++'线下门店-经销'!E6+'线下渠道'!E6+'淘系达播'!E6+'抖音达播'!E6</f>
      </c>
      <c r="F6" s="98">
        <f>'淘系'!F6+'抖音'!F6+PDD!F6+'得物'!F6+'京东自营财经口径'!F6+'京东POP财经口径'!F6+'视频号+官网+小程序'!F6+'快手'!F6+'唯品会'!F6+'线下门店-直营'!F6++'线下门店-经销'!F6+'线下渠道'!F6+'淘系达播'!F6+'抖音达播'!F6</f>
      </c>
      <c r="G6" s="98">
        <f>'淘系'!G6+'抖音'!G6+PDD!G6+'得物'!G6+'京东自营财经口径'!G6+'京东POP财经口径'!G6+'视频号+官网+小程序'!G6+'快手'!G6+'唯品会'!G6+'线下门店-直营'!G6++'线下门店-经销'!G6+'线下渠道'!G6+'淘系达播'!G6+'抖音达播'!G6</f>
      </c>
      <c r="H6" s="98">
        <f>'淘系'!H6+'抖音'!H6+PDD!H6+'得物'!H6+'京东自营财经口径'!H6+'京东POP财经口径'!H6+'视频号+官网+小程序'!H6+'快手'!H6+'唯品会'!H6+'线下门店-直营'!H6++'线下门店-经销'!H6+'线下渠道'!H6+'淘系达播'!H6+'抖音达播'!H6</f>
      </c>
      <c r="I6" s="98">
        <f>'淘系'!I6+'抖音'!I6+PDD!I6+'得物'!I6+'京东自营财经口径'!I6+'京东POP财经口径'!I6+'视频号+官网+小程序'!I6+'快手'!I6+'唯品会'!I6+'线下门店-直营'!I6++'线下门店-经销'!I6+'线下渠道'!I6+'淘系达播'!I6+'抖音达播'!I6</f>
      </c>
      <c r="J6" s="98">
        <f>'淘系'!J6+'抖音'!J6+PDD!J6+'得物'!J6+'京东自营财经口径'!J6+'京东POP财经口径'!J6+'视频号+官网+小程序'!J6+'快手'!J6+'唯品会'!J6+'线下门店-直营'!J6++'线下门店-经销'!J6+'线下渠道'!J6+'淘系达播'!J6+'抖音达播'!J6</f>
      </c>
      <c r="K6" s="98">
        <f>'淘系'!K6+'抖音'!K6+PDD!K6+'得物'!K6+'京东自营财经口径'!K6+'京东POP财经口径'!K6+'视频号+官网+小程序'!K6+'快手'!K6+'唯品会'!K6+'线下门店-直营'!K6++'线下门店-经销'!K6+'线下渠道'!K6+'淘系达播'!K6+'抖音达播'!K6</f>
      </c>
      <c r="L6" s="98">
        <f>'淘系'!L6+'抖音'!L6+PDD!L6+'得物'!L6+'京东自营财经口径'!L6+'京东POP财经口径'!L6+'视频号+官网+小程序'!L6+'快手'!L6+'唯品会'!L6+'线下门店-直营'!L6++'线下门店-经销'!L6+'线下渠道'!L6+'淘系达播'!L6+'抖音达播'!L6</f>
      </c>
      <c r="M6" s="98">
        <f>'淘系'!M6+'抖音'!M6+PDD!M6+'得物'!M6+'京东自营财经口径'!M6+'京东POP财经口径'!M6+'视频号+官网+小程序'!M6+'快手'!M6+'唯品会'!M6+'线下门店-直营'!M6++'线下门店-经销'!M6+'线下渠道'!M6+'淘系达播'!M6+'抖音达播'!M6</f>
      </c>
      <c r="N6" s="98">
        <f>'淘系'!N6+'抖音'!N6+PDD!N6+'得物'!N6+'京东自营财经口径'!N6+'京东POP财经口径'!N6+'视频号+官网+小程序'!N6+'快手'!N6+'唯品会'!N6+'线下门店-直营'!N6++'线下门店-经销'!N6+'线下渠道'!N6+'淘系达播'!N6+'抖音达播'!N6</f>
      </c>
      <c r="O6" s="98">
        <f>SUM(C6:N6)</f>
      </c>
      <c r="P6" s="98"/>
      <c r="Q6" s="146" t="str">
        <v>渠道填写</v>
      </c>
      <c r="R6" s="1"/>
      <c r="S6" s="1"/>
      <c r="T6" s="7"/>
      <c r="U6" s="70"/>
      <c r="V6" s="70"/>
    </row>
    <row r="7">
      <c r="A7" s="135"/>
      <c r="B7" s="102" t="str">
        <v>退货率（发货前+后）</v>
      </c>
      <c r="C7" s="102">
        <f>1-C8/C6</f>
      </c>
      <c r="D7" s="102">
        <f>1-D8/D6</f>
      </c>
      <c r="E7" s="102">
        <f>1-E8/E6</f>
      </c>
      <c r="F7" s="102">
        <f>1-F8/F6</f>
      </c>
      <c r="G7" s="102">
        <f>1-G8/G6</f>
      </c>
      <c r="H7" s="102">
        <f>1-H8/H6</f>
      </c>
      <c r="I7" s="102">
        <f>1-I8/I6</f>
      </c>
      <c r="J7" s="102">
        <f>1-J8/J6</f>
      </c>
      <c r="K7" s="102">
        <f>1-K8/K6</f>
      </c>
      <c r="L7" s="102">
        <f>1-L8/L6</f>
      </c>
      <c r="M7" s="102">
        <f>1-M8/M6</f>
      </c>
      <c r="N7" s="102">
        <f>1-N8/N6</f>
      </c>
      <c r="O7" s="102">
        <f>1-O8/O6</f>
      </c>
      <c r="P7" s="102"/>
      <c r="Q7" s="1" t="str">
        <v>渠道填写</v>
      </c>
      <c r="R7" s="1"/>
      <c r="S7" s="1"/>
      <c r="T7" s="7"/>
      <c r="U7" s="70"/>
      <c r="V7" s="70"/>
    </row>
    <row r="8">
      <c r="A8" s="135"/>
      <c r="B8" s="98" t="str">
        <v>GSV（国补后）</v>
      </c>
      <c r="C8" s="98">
        <f>'淘系'!C8+'抖音'!C8+PDD!C8+'得物'!C8+'京东自营财经口径'!C8+'京东POP财经口径'!C8+'视频号+官网+小程序'!C8+'快手'!C8+'唯品会'!C8+'线下门店-直营'!C8++'线下门店-经销'!C8+'线下渠道'!C8+'淘系达播'!C8+'抖音达播'!C8</f>
      </c>
      <c r="D8" s="98">
        <f>'淘系'!D8+'抖音'!D8+PDD!D8+'得物'!D8+'京东自营财经口径'!D8+'京东POP财经口径'!D8+'视频号+官网+小程序'!D8+'快手'!D8+'唯品会'!D8+'线下门店-直营'!D8++'线下门店-经销'!D8+'线下渠道'!D8+'淘系达播'!D8+'抖音达播'!D8</f>
      </c>
      <c r="E8" s="98">
        <f>'淘系'!E8+'抖音'!E8+PDD!E8+'得物'!E8+'京东自营财经口径'!E8+'京东POP财经口径'!E8+'视频号+官网+小程序'!E8+'快手'!E8+'唯品会'!E8+'线下门店-直营'!E8++'线下门店-经销'!E8+'线下渠道'!E8+'淘系达播'!E8+'抖音达播'!E8</f>
      </c>
      <c r="F8" s="98">
        <f>'淘系'!F8+'抖音'!F8+PDD!F8+'得物'!F8+'京东自营财经口径'!F8+'京东POP财经口径'!F8+'视频号+官网+小程序'!F8+'快手'!F8+'唯品会'!F8+'线下门店-直营'!F8++'线下门店-经销'!F8+'线下渠道'!F8+'淘系达播'!F8+'抖音达播'!F8</f>
      </c>
      <c r="G8" s="98">
        <f>'淘系'!G8+'抖音'!G8+PDD!G8+'得物'!G8+'京东自营财经口径'!G8+'京东POP财经口径'!G8+'视频号+官网+小程序'!G8+'快手'!G8+'唯品会'!G8+'线下门店-直营'!G8++'线下门店-经销'!G8+'线下渠道'!G8+'淘系达播'!G8+'抖音达播'!G8</f>
      </c>
      <c r="H8" s="98">
        <f>'淘系'!H8+'抖音'!H8+PDD!H8+'得物'!H8+'京东自营财经口径'!H8+'京东POP财经口径'!H8+'视频号+官网+小程序'!H8+'快手'!H8+'唯品会'!H8+'线下门店-直营'!H8++'线下门店-经销'!H8+'线下渠道'!H8+'淘系达播'!H8+'抖音达播'!H8</f>
      </c>
      <c r="I8" s="98">
        <f>'淘系'!I8+'抖音'!I8+PDD!I8+'得物'!I8+'京东自营财经口径'!I8+'京东POP财经口径'!I8+'视频号+官网+小程序'!I8+'快手'!I8+'唯品会'!I8+'线下门店-直营'!I8++'线下门店-经销'!I8+'线下渠道'!I8+'淘系达播'!I8+'抖音达播'!I8</f>
      </c>
      <c r="J8" s="98">
        <f>'淘系'!J8+'抖音'!J8+PDD!J8+'得物'!J8+'京东自营财经口径'!J8+'京东POP财经口径'!J8+'视频号+官网+小程序'!J8+'快手'!J8+'唯品会'!J8+'线下门店-直营'!J8++'线下门店-经销'!J8+'线下渠道'!J8+'淘系达播'!J8+'抖音达播'!J8</f>
      </c>
      <c r="K8" s="98">
        <f>'淘系'!K8+'抖音'!K8+PDD!K8+'得物'!K8+'京东自营财经口径'!K8+'京东POP财经口径'!K8+'视频号+官网+小程序'!K8+'快手'!K8+'唯品会'!K8+'线下门店-直营'!K8++'线下门店-经销'!K8+'线下渠道'!K8+'淘系达播'!K8+'抖音达播'!K8</f>
      </c>
      <c r="L8" s="98">
        <f>'淘系'!L8+'抖音'!L8+PDD!L8+'得物'!L8+'京东自营财经口径'!L8+'京东POP财经口径'!L8+'视频号+官网+小程序'!L8+'快手'!L8+'唯品会'!L8+'线下门店-直营'!L8++'线下门店-经销'!L8+'线下渠道'!L8+'淘系达播'!L8+'抖音达播'!L8</f>
      </c>
      <c r="M8" s="98">
        <f>'淘系'!M8+'抖音'!M8+PDD!M8+'得物'!M8+'京东自营财经口径'!M8+'京东POP财经口径'!M8+'视频号+官网+小程序'!M8+'快手'!M8+'唯品会'!M8+'线下门店-直营'!M8++'线下门店-经销'!M8+'线下渠道'!M8+'淘系达播'!M8+'抖音达播'!M8</f>
      </c>
      <c r="N8" s="98">
        <f>'淘系'!N8+'抖音'!N8+PDD!N8+'得物'!N8+'京东自营财经口径'!N8+'京东POP财经口径'!N8+'视频号+官网+小程序'!N8+'快手'!N8+'唯品会'!N8+'线下门店-直营'!N8++'线下门店-经销'!N8+'线下渠道'!N8+'淘系达播'!N8+'抖音达播'!N8</f>
      </c>
      <c r="O8" s="98">
        <f>SUM(C8:N8)</f>
      </c>
      <c r="P8" s="98"/>
      <c r="Q8" s="1" t="str">
        <v>渠道填写</v>
      </c>
      <c r="R8" s="1"/>
      <c r="S8" s="1"/>
      <c r="T8" s="7"/>
      <c r="U8" s="70"/>
      <c r="V8" s="70"/>
    </row>
    <row r="9">
      <c r="A9" s="1"/>
      <c r="B9" s="90"/>
      <c r="C9" s="118"/>
      <c r="D9" s="118"/>
      <c r="E9" s="118"/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"/>
      <c r="R9" s="1"/>
      <c r="S9" s="1"/>
      <c r="T9" s="7"/>
      <c r="U9" s="70"/>
      <c r="V9" s="70"/>
    </row>
    <row r="10">
      <c r="A10" s="135"/>
      <c r="B10" s="98" t="str">
        <v>零售价（去除退货后的）</v>
      </c>
      <c r="C10" s="98">
        <f>'淘系'!C10+'抖音'!C10+PDD!C10+'得物'!C10+'京东自营财经口径'!C10+'京东POP财经口径'!C10+'视频号+官网+小程序'!C10+'快手'!C10+'唯品会'!C10+'线下门店-直营'!C10++'线下门店-经销'!C10+'线下渠道'!C10+'淘系达播'!C10+'抖音达播'!C10</f>
      </c>
      <c r="D10" s="98">
        <f>'淘系'!D10+'抖音'!D10+PDD!D10+'得物'!D10+'京东自营财经口径'!D10+'京东POP财经口径'!D10+'视频号+官网+小程序'!D10+'快手'!D10+'唯品会'!D10+'线下门店-直营'!D10++'线下门店-经销'!D10+'线下渠道'!D10+'淘系达播'!D10+'抖音达播'!D10</f>
      </c>
      <c r="E10" s="98">
        <f>'淘系'!E10+'抖音'!E10+PDD!E10+'得物'!E10+'京东自营财经口径'!E10+'京东POP财经口径'!E10+'视频号+官网+小程序'!E10+'快手'!E10+'唯品会'!E10+'线下门店-直营'!E10++'线下门店-经销'!E10+'线下渠道'!E10+'淘系达播'!E10+'抖音达播'!E10</f>
      </c>
      <c r="F10" s="98">
        <f>'淘系'!F10+'抖音'!F10+PDD!F10+'得物'!F10+'京东自营财经口径'!F10+'京东POP财经口径'!F10+'视频号+官网+小程序'!F10+'快手'!F10+'唯品会'!F10+'线下门店-直营'!F10++'线下门店-经销'!F10+'线下渠道'!F10+'淘系达播'!F10+'抖音达播'!F10</f>
      </c>
      <c r="G10" s="98">
        <f>'淘系'!G10+'抖音'!G10+PDD!G10+'得物'!G10+'京东自营财经口径'!G10+'京东POP财经口径'!G10+'视频号+官网+小程序'!G10+'快手'!G10+'唯品会'!G10+'线下门店-直营'!G10++'线下门店-经销'!G10+'线下渠道'!G10+'淘系达播'!G10+'抖音达播'!G10</f>
      </c>
      <c r="H10" s="98">
        <f>'淘系'!H10+'抖音'!H10+PDD!H10+'得物'!H10+'京东自营财经口径'!H10+'京东POP财经口径'!H10+'视频号+官网+小程序'!H10+'快手'!H10+'唯品会'!H10+'线下门店-直营'!H10++'线下门店-经销'!H10+'线下渠道'!H10+'淘系达播'!H10+'抖音达播'!H10</f>
      </c>
      <c r="I10" s="98">
        <f>'淘系'!I10+'抖音'!I10+PDD!I10+'得物'!I10+'京东自营财经口径'!I10+'京东POP财经口径'!I10+'视频号+官网+小程序'!I10+'快手'!I10+'唯品会'!I10+'线下门店-直营'!I10++'线下门店-经销'!I10+'线下渠道'!I10+'淘系达播'!I10+'抖音达播'!I10</f>
      </c>
      <c r="J10" s="98">
        <f>'淘系'!J10+'抖音'!J10+PDD!J10+'得物'!J10+'京东自营财经口径'!J10+'京东POP财经口径'!J10+'视频号+官网+小程序'!J10+'快手'!J10+'唯品会'!J10+'线下门店-直营'!J10++'线下门店-经销'!J10+'线下渠道'!J10+'淘系达播'!J10+'抖音达播'!J10</f>
      </c>
      <c r="K10" s="98">
        <f>'淘系'!K10+'抖音'!K10+PDD!K10+'得物'!K10+'京东自营财经口径'!K10+'京东POP财经口径'!K10+'视频号+官网+小程序'!K10+'快手'!K10+'唯品会'!K10+'线下门店-直营'!K10++'线下门店-经销'!K10+'线下渠道'!K10+'淘系达播'!K10+'抖音达播'!K10</f>
      </c>
      <c r="L10" s="98">
        <f>'淘系'!L10+'抖音'!L10+PDD!L10+'得物'!L10+'京东自营财经口径'!L10+'京东POP财经口径'!L10+'视频号+官网+小程序'!L10+'快手'!L10+'唯品会'!L10+'线下门店-直营'!L10++'线下门店-经销'!L10+'线下渠道'!L10+'淘系达播'!L10+'抖音达播'!L10</f>
      </c>
      <c r="M10" s="98">
        <f>'淘系'!M10+'抖音'!M10+PDD!M10+'得物'!M10+'京东自营财经口径'!M10+'京东POP财经口径'!M10+'视频号+官网+小程序'!M10+'快手'!M10+'唯品会'!M10+'线下门店-直营'!M10++'线下门店-经销'!M10+'线下渠道'!M10+'淘系达播'!M10+'抖音达播'!M10</f>
      </c>
      <c r="N10" s="98">
        <f>'淘系'!N10+'抖音'!N10+PDD!N10+'得物'!N10+'京东自营财经口径'!N10+'京东POP财经口径'!N10+'视频号+官网+小程序'!N10+'快手'!N10+'唯品会'!N10+'线下门店-直营'!N10++'线下门店-经销'!N10+'线下渠道'!N10+'淘系达播'!N10+'抖音达播'!N10</f>
      </c>
      <c r="O10" s="98">
        <f>SUM(C10:N10)</f>
      </c>
      <c r="P10" s="98"/>
      <c r="Q10" s="126" t="str">
        <v>渠道第二次填写</v>
      </c>
      <c r="R10" s="1"/>
      <c r="S10" s="1"/>
      <c r="T10" s="7"/>
      <c r="U10" s="70"/>
      <c r="V10" s="70"/>
    </row>
    <row r="11">
      <c r="A11" s="1"/>
      <c r="B11" s="85" t="str">
        <v>合同折扣及返利 (线下）</v>
      </c>
      <c r="C11" s="125">
        <f>'淘系'!C11+'抖音'!C11+PDD!C11+'得物'!C11+'京东自营财经口径'!C11+'京东POP财经口径'!C11+'视频号+官网+小程序'!C11+'快手'!C11+'唯品会'!C11+'线下门店-直营'!C11+'线下门店-经销'!C11+'线下渠道'!C11+'淘系达播'!C11+'抖音达播'!C11</f>
      </c>
      <c r="D11" s="125">
        <f>'淘系'!D11+'抖音'!D11+PDD!D11+'得物'!D11+'京东自营财经口径'!D11+'京东POP财经口径'!D11+'视频号+官网+小程序'!D11+'快手'!D11+'唯品会'!D11+'线下门店-直营'!D11+'线下门店-经销'!D11+'线下渠道'!D11+'淘系达播'!D11+'抖音达播'!D11</f>
      </c>
      <c r="E11" s="125">
        <f>'淘系'!E11+'抖音'!E11+PDD!E11+'得物'!E11+'京东自营财经口径'!E11+'京东POP财经口径'!E11+'视频号+官网+小程序'!E11+'快手'!E11+'唯品会'!E11+'线下门店-直营'!E11+'线下门店-经销'!E11+'线下渠道'!E11+'淘系达播'!E11+'抖音达播'!E11</f>
      </c>
      <c r="F11" s="125">
        <f>'淘系'!F11+'抖音'!F11+PDD!F11+'得物'!F11+'京东自营财经口径'!F11+'京东POP财经口径'!F11+'视频号+官网+小程序'!F11+'快手'!F11+'唯品会'!F11+'线下门店-直营'!F11+'线下门店-经销'!F11+'线下渠道'!F11+'淘系达播'!F11+'抖音达播'!F11</f>
      </c>
      <c r="G11" s="125">
        <f>'淘系'!G11+'抖音'!G11+PDD!G11+'得物'!G11+'京东自营财经口径'!G11+'京东POP财经口径'!G11+'视频号+官网+小程序'!G11+'快手'!G11+'唯品会'!G11+'线下门店-直营'!G11+'线下门店-经销'!G11+'线下渠道'!G11+'淘系达播'!G11+'抖音达播'!G11</f>
      </c>
      <c r="H11" s="125">
        <f>'淘系'!H11+'抖音'!H11+PDD!H11+'得物'!H11+'京东自营财经口径'!H11+'京东POP财经口径'!H11+'视频号+官网+小程序'!H11+'快手'!H11+'唯品会'!H11+'线下门店-直营'!H11+'线下门店-经销'!H11+'线下渠道'!H11+'淘系达播'!H11+'抖音达播'!H11</f>
      </c>
      <c r="I11" s="125">
        <f>'淘系'!I11+'抖音'!I11+PDD!I11+'得物'!I11+'京东自营财经口径'!I11+'京东POP财经口径'!I11+'视频号+官网+小程序'!I11+'快手'!I11+'唯品会'!I11+'线下门店-直营'!I11+'线下门店-经销'!I11+'线下渠道'!I11+'淘系达播'!I11+'抖音达播'!I11</f>
      </c>
      <c r="J11" s="125">
        <f>'淘系'!J11+'抖音'!J11+PDD!J11+'得物'!J11+'京东自营财经口径'!J11+'京东POP财经口径'!J11+'视频号+官网+小程序'!J11+'快手'!J11+'唯品会'!J11+'线下门店-直营'!J11+'线下门店-经销'!J11+'线下渠道'!J11+'淘系达播'!J11+'抖音达播'!J11</f>
      </c>
      <c r="K11" s="125">
        <f>'淘系'!K11+'抖音'!K11+PDD!K11+'得物'!K11+'京东自营财经口径'!K11+'京东POP财经口径'!K11+'视频号+官网+小程序'!K11+'快手'!K11+'唯品会'!K11+'线下门店-直营'!K11+'线下门店-经销'!K11+'线下渠道'!K11+'淘系达播'!K11+'抖音达播'!K11</f>
      </c>
      <c r="L11" s="125">
        <f>'淘系'!L11+'抖音'!L11+PDD!L11+'得物'!L11+'京东自营财经口径'!L11+'京东POP财经口径'!L11+'视频号+官网+小程序'!L11+'快手'!L11+'唯品会'!L11+'线下门店-直营'!L11+'线下门店-经销'!L11+'线下渠道'!L11+'淘系达播'!L11+'抖音达播'!L11</f>
      </c>
      <c r="M11" s="125">
        <f>'淘系'!M11+'抖音'!M11+PDD!M11+'得物'!M11+'京东自营财经口径'!M11+'京东POP财经口径'!M11+'视频号+官网+小程序'!M11+'快手'!M11+'唯品会'!M11+'线下门店-直营'!M11+'线下门店-经销'!M11+'线下渠道'!M11+'淘系达播'!M11+'抖音达播'!M11</f>
      </c>
      <c r="N11" s="125">
        <f>'淘系'!N11+'抖音'!N11+PDD!N11+'得物'!N11+'京东自营财经口径'!N11+'京东POP财经口径'!N11+'视频号+官网+小程序'!N11+'快手'!N11+'唯品会'!N11+'线下门店-直营'!N11+'线下门店-经销'!N11+'线下渠道'!N11+'淘系达播'!N11+'抖音达播'!N11</f>
      </c>
      <c r="O11" s="127">
        <f>SUM(C11:N11)</f>
      </c>
      <c r="P11" s="128">
        <f>O11/O8</f>
      </c>
      <c r="Q11" s="1" t="str">
        <v>线下渠道填写</v>
      </c>
      <c r="R11" s="54">
        <f>O11/$O$10</f>
      </c>
      <c r="S11" s="1"/>
      <c r="T11" s="7"/>
      <c r="U11" s="70"/>
      <c r="V11" s="70"/>
    </row>
    <row r="12">
      <c r="A12" s="1"/>
      <c r="B12" s="85" t="str">
        <v>国补自补 （线上）</v>
      </c>
      <c r="C12" s="125">
        <f>'淘系'!C12+'抖音'!C12+PDD!C12+'得物'!C12+'京东自营财经口径'!C12+'京东POP财经口径'!C12+'视频号+官网+小程序'!C12+'快手'!C12+'唯品会'!C12+'线下门店-直营'!C12+'线下门店-经销'!C12+'线下渠道'!C12+'淘系达播'!C12+'抖音达播'!C12</f>
      </c>
      <c r="D12" s="125">
        <f>'淘系'!D12+'抖音'!D12+PDD!D12+'得物'!D12+'京东自营财经口径'!D12+'京东POP财经口径'!D12+'视频号+官网+小程序'!D12+'快手'!D12+'唯品会'!D12+'线下门店-直营'!D12+'线下门店-经销'!D12+'线下渠道'!D12+'淘系达播'!D12+'抖音达播'!D12</f>
      </c>
      <c r="E12" s="125">
        <f>'淘系'!E12+'抖音'!E12+PDD!E12+'得物'!E12+'京东自营财经口径'!E12+'京东POP财经口径'!E12+'视频号+官网+小程序'!E12+'快手'!E12+'唯品会'!E12+'线下门店-直营'!E12+'线下门店-经销'!E12+'线下渠道'!E12+'淘系达播'!E12+'抖音达播'!E12</f>
      </c>
      <c r="F12" s="125">
        <f>'淘系'!F12+'抖音'!F12+PDD!F12+'得物'!F12+'京东自营财经口径'!F12+'京东POP财经口径'!F12+'视频号+官网+小程序'!F12+'快手'!F12+'唯品会'!F12+'线下门店-直营'!F12+'线下门店-经销'!F12+'线下渠道'!F12+'淘系达播'!F12+'抖音达播'!F12</f>
      </c>
      <c r="G12" s="125">
        <f>'淘系'!G12+'抖音'!G12+PDD!G12+'得物'!G12+'京东自营财经口径'!G12+'京东POP财经口径'!G12+'视频号+官网+小程序'!G12+'快手'!G12+'唯品会'!G12+'线下门店-直营'!G12+'线下门店-经销'!G12+'线下渠道'!G12+'淘系达播'!G12+'抖音达播'!G12</f>
      </c>
      <c r="H12" s="125">
        <f>'淘系'!H12+'抖音'!H12+PDD!H12+'得物'!H12+'京东自营财经口径'!H12+'京东POP财经口径'!H12+'视频号+官网+小程序'!H12+'快手'!H12+'唯品会'!H12+'线下门店-直营'!H12+'线下门店-经销'!H12+'线下渠道'!H12+'淘系达播'!H12+'抖音达播'!H12</f>
      </c>
      <c r="I12" s="125">
        <f>'淘系'!I12+'抖音'!I12+PDD!I12+'得物'!I12+'京东自营财经口径'!I12+'京东POP财经口径'!I12+'视频号+官网+小程序'!I12+'快手'!I12+'唯品会'!I12+'线下门店-直营'!I12+'线下门店-经销'!I12+'线下渠道'!I12+'淘系达播'!I12+'抖音达播'!I12</f>
      </c>
      <c r="J12" s="125">
        <f>'淘系'!J12+'抖音'!J12+PDD!J12+'得物'!J12+'京东自营财经口径'!J12+'京东POP财经口径'!J12+'视频号+官网+小程序'!J12+'快手'!J12+'唯品会'!J12+'线下门店-直营'!J12+'线下门店-经销'!J12+'线下渠道'!J12+'淘系达播'!J12+'抖音达播'!J12</f>
      </c>
      <c r="K12" s="125">
        <f>'淘系'!K12+'抖音'!K12+PDD!K12+'得物'!K12+'京东自营财经口径'!K12+'京东POP财经口径'!K12+'视频号+官网+小程序'!K12+'快手'!K12+'唯品会'!K12+'线下门店-直营'!K12+'线下门店-经销'!K12+'线下渠道'!K12+'淘系达播'!K12+'抖音达播'!K12</f>
      </c>
      <c r="L12" s="125">
        <f>'淘系'!L12+'抖音'!L12+PDD!L12+'得物'!L12+'京东自营财经口径'!L12+'京东POP财经口径'!L12+'视频号+官网+小程序'!L12+'快手'!L12+'唯品会'!L12+'线下门店-直营'!L12+'线下门店-经销'!L12+'线下渠道'!L12+'淘系达播'!L12+'抖音达播'!L12</f>
      </c>
      <c r="M12" s="125">
        <f>'淘系'!M12+'抖音'!M12+PDD!M12+'得物'!M12+'京东自营财经口径'!M12+'京东POP财经口径'!M12+'视频号+官网+小程序'!M12+'快手'!M12+'唯品会'!M12+'线下门店-直营'!M12+'线下门店-经销'!M12+'线下渠道'!M12+'淘系达播'!M12+'抖音达播'!M12</f>
      </c>
      <c r="N12" s="125">
        <f>'淘系'!N12+'抖音'!N12+PDD!N12+'得物'!N12+'京东自营财经口径'!N12+'京东POP财经口径'!N12+'视频号+官网+小程序'!N12+'快手'!N12+'唯品会'!N12+'线下门店-直营'!N12+'线下门店-经销'!N12+'线下渠道'!N12+'淘系达播'!N12+'抖音达播'!N12</f>
      </c>
      <c r="O12" s="127">
        <f>SUM(C12:N12)</f>
      </c>
      <c r="P12" s="128">
        <f>O12/O8</f>
      </c>
      <c r="Q12" s="1" t="str">
        <v>渠道填写</v>
      </c>
      <c r="R12" s="54">
        <f>O12/$O$10</f>
      </c>
      <c r="S12" s="1"/>
      <c r="T12" s="7"/>
      <c r="U12" s="70"/>
      <c r="V12" s="70"/>
    </row>
    <row r="13">
      <c r="A13" s="1"/>
      <c r="B13" s="85" t="str">
        <v>红包消费券等促销折扣</v>
      </c>
      <c r="C13" s="125">
        <f>'淘系'!C13+'抖音'!C13+PDD!C13+'得物'!C13+'京东自营财经口径'!C13+'京东POP财经口径'!C13+'视频号+官网+小程序'!C13+'快手'!C13+'唯品会'!C13+'线下门店-直营'!C13+'线下门店-经销'!C13+'线下渠道'!C13+'淘系达播'!C13+'抖音达播'!C13</f>
      </c>
      <c r="D13" s="125">
        <f>'淘系'!D13+'抖音'!D13+PDD!D13+'得物'!D13+'京东自营财经口径'!D13+'京东POP财经口径'!D13+'视频号+官网+小程序'!D13+'快手'!D13+'唯品会'!D13+'线下门店-直营'!D13+'线下门店-经销'!D13+'线下渠道'!D13+'淘系达播'!D13+'抖音达播'!D13</f>
      </c>
      <c r="E13" s="125">
        <f>'淘系'!E13+'抖音'!E13+PDD!E13+'得物'!E13+'京东自营财经口径'!E13+'京东POP财经口径'!E13+'视频号+官网+小程序'!E13+'快手'!E13+'唯品会'!E13+'线下门店-直营'!E13+'线下门店-经销'!E13+'线下渠道'!E13+'淘系达播'!E13+'抖音达播'!E13</f>
      </c>
      <c r="F13" s="125">
        <f>'淘系'!F13+'抖音'!F13+PDD!F13+'得物'!F13+'京东自营财经口径'!F13+'京东POP财经口径'!F13+'视频号+官网+小程序'!F13+'快手'!F13+'唯品会'!F13+'线下门店-直营'!F13+'线下门店-经销'!F13+'线下渠道'!F13+'淘系达播'!F13+'抖音达播'!F13</f>
      </c>
      <c r="G13" s="125">
        <f>'淘系'!G13+'抖音'!G13+PDD!G13+'得物'!G13+'京东自营财经口径'!G13+'京东POP财经口径'!G13+'视频号+官网+小程序'!G13+'快手'!G13+'唯品会'!G13+'线下门店-直营'!G13+'线下门店-经销'!G13+'线下渠道'!G13+'淘系达播'!G13+'抖音达播'!G13</f>
      </c>
      <c r="H13" s="125">
        <f>'淘系'!H13+'抖音'!H13+PDD!H13+'得物'!H13+'京东自营财经口径'!H13+'京东POP财经口径'!H13+'视频号+官网+小程序'!H13+'快手'!H13+'唯品会'!H13+'线下门店-直营'!H13+'线下门店-经销'!H13+'线下渠道'!H13+'淘系达播'!H13+'抖音达播'!H13</f>
      </c>
      <c r="I13" s="125">
        <f>'淘系'!I13+'抖音'!I13+PDD!I13+'得物'!I13+'京东自营财经口径'!I13+'京东POP财经口径'!I13+'视频号+官网+小程序'!I13+'快手'!I13+'唯品会'!I13+'线下门店-直营'!I13+'线下门店-经销'!I13+'线下渠道'!I13+'淘系达播'!I13+'抖音达播'!I13</f>
      </c>
      <c r="J13" s="125">
        <f>'淘系'!J13+'抖音'!J13+PDD!J13+'得物'!J13+'京东自营财经口径'!J13+'京东POP财经口径'!J13+'视频号+官网+小程序'!J13+'快手'!J13+'唯品会'!J13+'线下门店-直营'!J13+'线下门店-经销'!J13+'线下渠道'!J13+'淘系达播'!J13+'抖音达播'!J13</f>
      </c>
      <c r="K13" s="125">
        <f>'淘系'!K13+'抖音'!K13+PDD!K13+'得物'!K13+'京东自营财经口径'!K13+'京东POP财经口径'!K13+'视频号+官网+小程序'!K13+'快手'!K13+'唯品会'!K13+'线下门店-直营'!K13+'线下门店-经销'!K13+'线下渠道'!K13+'淘系达播'!K13+'抖音达播'!K13</f>
      </c>
      <c r="L13" s="125">
        <f>'淘系'!L13+'抖音'!L13+PDD!L13+'得物'!L13+'京东自营财经口径'!L13+'京东POP财经口径'!L13+'视频号+官网+小程序'!L13+'快手'!L13+'唯品会'!L13+'线下门店-直营'!L13+'线下门店-经销'!L13+'线下渠道'!L13+'淘系达播'!L13+'抖音达播'!L13</f>
      </c>
      <c r="M13" s="125">
        <f>'淘系'!M13+'抖音'!M13+PDD!M13+'得物'!M13+'京东自营财经口径'!M13+'京东POP财经口径'!M13+'视频号+官网+小程序'!M13+'快手'!M13+'唯品会'!M13+'线下门店-直营'!M13+'线下门店-经销'!M13+'线下渠道'!M13+'淘系达播'!M13+'抖音达播'!M13</f>
      </c>
      <c r="N13" s="125">
        <f>'淘系'!N13+'抖音'!N13+PDD!N13+'得物'!N13+'京东自营财经口径'!N13+'京东POP财经口径'!N13+'视频号+官网+小程序'!N13+'快手'!N13+'唯品会'!N13+'线下门店-直营'!N13+'线下门店-经销'!N13+'线下渠道'!N13+'淘系达播'!N13+'抖音达播'!N13</f>
      </c>
      <c r="O13" s="127">
        <f>SUM(C13:N13)</f>
      </c>
      <c r="P13" s="128">
        <f>O13/O8</f>
      </c>
      <c r="Q13" s="126" t="str">
        <v>渠道填写</v>
      </c>
      <c r="R13" s="54">
        <f>O13/$O$10</f>
      </c>
      <c r="S13" s="1"/>
      <c r="T13" s="7"/>
      <c r="U13" s="70"/>
      <c r="V13" s="70"/>
    </row>
    <row r="14">
      <c r="A14" s="1"/>
      <c r="B14" s="83" t="str">
        <v>TTL 折扣合计</v>
      </c>
      <c r="C14" s="115">
        <f>SUM(C11:C13)</f>
      </c>
      <c r="D14" s="115">
        <f>SUM(D11:D13)</f>
      </c>
      <c r="E14" s="115">
        <f>SUM(E11:E13)</f>
      </c>
      <c r="F14" s="115">
        <f>SUM(F11:F13)</f>
      </c>
      <c r="G14" s="115">
        <f>SUM(G11:G13)</f>
      </c>
      <c r="H14" s="115">
        <f>SUM(H11:H13)</f>
      </c>
      <c r="I14" s="115">
        <f>SUM(I11:I13)</f>
      </c>
      <c r="J14" s="115">
        <f>SUM(J11:J13)</f>
      </c>
      <c r="K14" s="115">
        <f>SUM(K11:K13)</f>
      </c>
      <c r="L14" s="115">
        <f>SUM(L11:L13)</f>
      </c>
      <c r="M14" s="115">
        <f>SUM(M11:M13)</f>
      </c>
      <c r="N14" s="115">
        <f>SUM(N11:N13)</f>
      </c>
      <c r="O14" s="115">
        <f>SUM(C14:N14)</f>
      </c>
      <c r="P14" s="116">
        <f>O14/O8</f>
      </c>
      <c r="Q14" s="1"/>
      <c r="R14" s="54">
        <f>O14/$O$10</f>
      </c>
      <c r="S14" s="1"/>
      <c r="T14" s="7"/>
      <c r="U14" s="70"/>
      <c r="V14" s="70"/>
    </row>
    <row r="15">
      <c r="A15" s="135"/>
      <c r="B15" s="98" t="str">
        <v>GSV</v>
      </c>
      <c r="C15" s="98">
        <f>C8</f>
      </c>
      <c r="D15" s="98">
        <f>D8</f>
      </c>
      <c r="E15" s="98">
        <f>E8</f>
      </c>
      <c r="F15" s="98">
        <f>F8</f>
      </c>
      <c r="G15" s="98">
        <f>G8</f>
      </c>
      <c r="H15" s="98">
        <f>H8</f>
      </c>
      <c r="I15" s="98">
        <f>I8</f>
      </c>
      <c r="J15" s="98">
        <f>J8</f>
      </c>
      <c r="K15" s="98">
        <f>K8</f>
      </c>
      <c r="L15" s="98">
        <f>L8</f>
      </c>
      <c r="M15" s="98">
        <f>M8</f>
      </c>
      <c r="N15" s="98">
        <f>N8</f>
      </c>
      <c r="O15" s="98">
        <f>SUM(C15:N15)</f>
      </c>
      <c r="P15" s="98"/>
      <c r="Q15" s="1"/>
      <c r="R15" s="1"/>
      <c r="S15" s="1"/>
      <c r="T15" s="7"/>
      <c r="U15" s="70"/>
      <c r="V15" s="70"/>
    </row>
    <row r="16">
      <c r="A16" s="135"/>
      <c r="B16" s="98" t="str">
        <v>营业收入</v>
      </c>
      <c r="C16" s="98">
        <f>+C8/1.13</f>
      </c>
      <c r="D16" s="98">
        <f>+D8/1.13</f>
      </c>
      <c r="E16" s="98">
        <f>+E8/1.13</f>
      </c>
      <c r="F16" s="98">
        <f>+F8/1.13</f>
      </c>
      <c r="G16" s="98">
        <f>+G8/1.13</f>
      </c>
      <c r="H16" s="98">
        <f>+H8/1.13</f>
      </c>
      <c r="I16" s="98">
        <f>+I8/1.13</f>
      </c>
      <c r="J16" s="98">
        <f>+J8/1.13</f>
      </c>
      <c r="K16" s="98">
        <f>+K8/1.13</f>
      </c>
      <c r="L16" s="98">
        <f>+L8/1.13</f>
      </c>
      <c r="M16" s="98">
        <f>+M8/1.13</f>
      </c>
      <c r="N16" s="98">
        <f>+N8/1.13</f>
      </c>
      <c r="O16" s="98">
        <f>SUM(C16:N16)</f>
      </c>
      <c r="P16" s="98"/>
      <c r="Q16" s="1"/>
      <c r="R16" s="1"/>
      <c r="S16" s="1"/>
      <c r="T16" s="119">
        <f>O16-'淘系'!O16-'淘系达播'!O16-'抖音'!O16-'抖音达播'!O16-'快手'!O16-'京东POP财经口径'!O16-'京东自营财经口径'!O16-PDD!O16-'得物'!O16-'视频号+官网+小程序'!O16-'唯品会'!O16-'线下门店-直营'!O16-'线下门店-经销'!O16-'线下渠道'!O16</f>
      </c>
      <c r="U16" s="70"/>
      <c r="V16" s="70"/>
    </row>
    <row r="17">
      <c r="A17" s="1"/>
      <c r="B17" s="1"/>
      <c r="C17" s="44">
        <f>C14/C15</f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19">
        <f>O17-'淘系'!O17-'淘系达播'!O17-'抖音'!O17-'抖音达播'!O17-'快手'!O17-'京东POP财经口径'!O17-'京东自营财经口径'!O17-PDD!O17-'得物'!O17-'视频号+官网+小程序'!O17-'唯品会'!O17-'线下门店-直营'!O17-'线下门店-经销'!O17-'线下渠道'!O17</f>
      </c>
      <c r="U17" s="70"/>
      <c r="V17" s="70"/>
    </row>
    <row r="18">
      <c r="A18" s="1"/>
      <c r="B18" s="85" t="str">
        <v>标准主品配件成本</v>
      </c>
      <c r="C18" s="127">
        <f>'淘系'!C18+'抖音'!C18+PDD!C18+'得物'!C18+'京东自营财经口径'!C18+'京东POP财经口径'!C18+'视频号+官网+小程序'!C18+'快手'!C18+'唯品会'!C18+'线下门店-直营'!C18+'线下门店-经销'!C18+'线下渠道'!C18+'淘系达播'!C18+'抖音达播'!C18</f>
      </c>
      <c r="D18" s="127">
        <f>'淘系'!D18+'抖音'!D18+PDD!D18+'得物'!D18+'京东自营财经口径'!D18+'京东POP财经口径'!D18+'视频号+官网+小程序'!D18+'快手'!D18+'唯品会'!D18+'线下门店-直营'!D18+'线下门店-经销'!D18+'线下渠道'!D18+'淘系达播'!D18+'抖音达播'!D18</f>
      </c>
      <c r="E18" s="127">
        <f>'淘系'!E18+'抖音'!E18+PDD!E18+'得物'!E18+'京东自营财经口径'!E18+'京东POP财经口径'!E18+'视频号+官网+小程序'!E18+'快手'!E18+'唯品会'!E18+'线下门店-直营'!E18+'线下门店-经销'!E18+'线下渠道'!E18+'淘系达播'!E18+'抖音达播'!E18</f>
      </c>
      <c r="F18" s="127">
        <f>'淘系'!F18+'抖音'!F18+PDD!F18+'得物'!F18+'京东自营财经口径'!F18+'京东POP财经口径'!F18+'视频号+官网+小程序'!F18+'快手'!F18+'唯品会'!F18+'线下门店-直营'!F18+'线下门店-经销'!F18+'线下渠道'!F18+'淘系达播'!F18+'抖音达播'!F18</f>
      </c>
      <c r="G18" s="127">
        <f>'淘系'!G18+'抖音'!G18+PDD!G18+'得物'!G18+'京东自营财经口径'!G18+'京东POP财经口径'!G18+'视频号+官网+小程序'!G18+'快手'!G18+'唯品会'!G18+'线下门店-直营'!G18+'线下门店-经销'!G18+'线下渠道'!G18+'淘系达播'!G18+'抖音达播'!G18</f>
      </c>
      <c r="H18" s="127">
        <f>'淘系'!H18+'抖音'!H18+PDD!H18+'得物'!H18+'京东自营财经口径'!H18+'京东POP财经口径'!H18+'视频号+官网+小程序'!H18+'快手'!H18+'唯品会'!H18+'线下门店-直营'!H18+'线下门店-经销'!H18+'线下渠道'!H18+'淘系达播'!H18+'抖音达播'!H18</f>
      </c>
      <c r="I18" s="127">
        <f>'淘系'!I18+'抖音'!I18+PDD!I18+'得物'!I18+'京东自营财经口径'!I18+'京东POP财经口径'!I18+'视频号+官网+小程序'!I18+'快手'!I18+'唯品会'!I18+'线下门店-直营'!I18+'线下门店-经销'!I18+'线下渠道'!I18+'淘系达播'!I18+'抖音达播'!I18</f>
      </c>
      <c r="J18" s="127">
        <f>'淘系'!J18+'抖音'!J18+PDD!J18+'得物'!J18+'京东自营财经口径'!J18+'京东POP财经口径'!J18+'视频号+官网+小程序'!J18+'快手'!J18+'唯品会'!J18+'线下门店-直营'!J18+'线下门店-经销'!J18+'线下渠道'!J18+'淘系达播'!J18+'抖音达播'!J18</f>
      </c>
      <c r="K18" s="127">
        <f>'淘系'!K18+'抖音'!K18+PDD!K18+'得物'!K18+'京东自营财经口径'!K18+'京东POP财经口径'!K18+'视频号+官网+小程序'!K18+'快手'!K18+'唯品会'!K18+'线下门店-直营'!K18+'线下门店-经销'!K18+'线下渠道'!K18+'淘系达播'!K18+'抖音达播'!K18</f>
      </c>
      <c r="L18" s="127">
        <f>'淘系'!L18+'抖音'!L18+PDD!L18+'得物'!L18+'京东自营财经口径'!L18+'京东POP财经口径'!L18+'视频号+官网+小程序'!L18+'快手'!L18+'唯品会'!L18+'线下门店-直营'!L18+'线下门店-经销'!L18+'线下渠道'!L18+'淘系达播'!L18+'抖音达播'!L18</f>
      </c>
      <c r="M18" s="127">
        <f>'淘系'!M18+'抖音'!M18+PDD!M18+'得物'!M18+'京东自营财经口径'!M18+'京东POP财经口径'!M18+'视频号+官网+小程序'!M18+'快手'!M18+'唯品会'!M18+'线下门店-直营'!M18+'线下门店-经销'!M18+'线下渠道'!M18+'淘系达播'!M18+'抖音达播'!M18</f>
      </c>
      <c r="N18" s="127">
        <f>'淘系'!N18+'抖音'!N18+PDD!N18+'得物'!N18+'京东自营财经口径'!N18+'京东POP财经口径'!N18+'视频号+官网+小程序'!N18+'快手'!N18+'唯品会'!N18+'线下门店-直营'!N18+'线下门店-经销'!N18+'线下渠道'!N18+'淘系达播'!N18+'抖音达播'!N18</f>
      </c>
      <c r="O18" s="127">
        <f>SUM(C18:N18)</f>
      </c>
      <c r="P18" s="128">
        <f>O18/O16</f>
      </c>
      <c r="Q18" s="1"/>
      <c r="R18" s="1" t="str" xml:space="preserve">
        <v> Y25 Bi 成本54%</v>
      </c>
      <c r="S18" s="1"/>
      <c r="T18" s="119">
        <f>O18-'淘系'!O18-'淘系达播'!O18-'抖音'!O18-'抖音达播'!O18-'快手'!O18-'京东POP财经口径'!O18-'京东自营财经口径'!O18-PDD!O18-'得物'!O18-'视频号+官网+小程序'!O18-'唯品会'!O18-'线下门店-直营'!O18-'线下门店-经销'!O18-'线下渠道'!O18</f>
      </c>
      <c r="U18" s="70"/>
      <c r="V18" s="70"/>
    </row>
    <row r="19">
      <c r="A19" s="1"/>
      <c r="B19" s="83" t="str">
        <v>产品毛利</v>
      </c>
      <c r="C19" s="115">
        <f>C16-C18</f>
      </c>
      <c r="D19" s="115">
        <f>D16-D18</f>
      </c>
      <c r="E19" s="115">
        <f>E16-E18</f>
      </c>
      <c r="F19" s="115">
        <f>F16-F18</f>
      </c>
      <c r="G19" s="115">
        <f>G16-G18</f>
      </c>
      <c r="H19" s="115">
        <f>H16-H18</f>
      </c>
      <c r="I19" s="115">
        <f>I16-I18</f>
      </c>
      <c r="J19" s="115">
        <f>J16-J18</f>
      </c>
      <c r="K19" s="115">
        <f>K16-K18</f>
      </c>
      <c r="L19" s="115">
        <f>L16-L18</f>
      </c>
      <c r="M19" s="115">
        <f>M16-M18</f>
      </c>
      <c r="N19" s="115">
        <f>N16-N18</f>
      </c>
      <c r="O19" s="115">
        <f>SUM(C19:N19)</f>
      </c>
      <c r="P19" s="116">
        <f>O19/$O$16</f>
      </c>
      <c r="Q19" s="1"/>
      <c r="R19" s="158">
        <f>O16*0.12</f>
      </c>
      <c r="S19" s="1"/>
      <c r="T19" s="119">
        <f>O19-'淘系'!O19-'淘系达播'!O19-'抖音'!O19-'抖音达播'!O19-'快手'!O19-'京东POP财经口径'!O19-'京东自营财经口径'!O19-PDD!O19-'得物'!O19-'视频号+官网+小程序'!O19-'唯品会'!O19-'线下门店-直营'!O19-'线下门店-经销'!O19-'线下渠道'!O19</f>
      </c>
      <c r="U19" s="70"/>
      <c r="V19" s="70"/>
    </row>
    <row r="20">
      <c r="A20" s="118"/>
      <c r="B20" s="90" t="str">
        <v>头程/尾程物流/仓储费用</v>
      </c>
      <c r="C20" s="118">
        <f>C16*2.5%</f>
      </c>
      <c r="D20" s="118">
        <f>D16*2.5%</f>
      </c>
      <c r="E20" s="118">
        <f>E16*2.5%</f>
      </c>
      <c r="F20" s="118">
        <f>F16*2.5%</f>
      </c>
      <c r="G20" s="118">
        <f>G16*2.5%</f>
      </c>
      <c r="H20" s="118">
        <f>H16*2.5%</f>
      </c>
      <c r="I20" s="118">
        <f>I16*2.5%</f>
      </c>
      <c r="J20" s="118">
        <f>J16*2.5%</f>
      </c>
      <c r="K20" s="118">
        <f>K16*2.5%</f>
      </c>
      <c r="L20" s="118">
        <f>L16*2.5%</f>
      </c>
      <c r="M20" s="118">
        <f>M16*2.5%</f>
      </c>
      <c r="N20" s="118">
        <f>N16*2.5%</f>
      </c>
      <c r="O20" s="118">
        <f>SUM(C20:N20)</f>
      </c>
      <c r="P20" s="120">
        <v>0.025</v>
      </c>
      <c r="Q20" s="1"/>
      <c r="R20" s="158"/>
      <c r="S20" s="1"/>
      <c r="T20" s="119">
        <f>O20-'淘系'!O20-'淘系达播'!O20-'抖音'!O20-'抖音达播'!O20-'快手'!O20-'京东POP财经口径'!O20-'京东自营财经口径'!O20-PDD!O20-'得物'!O20-'视频号+官网+小程序'!O20-'唯品会'!O20-'线下门店-直营'!O20-'线下门店-经销'!O20-'线下渠道'!O20</f>
      </c>
      <c r="U20" s="70"/>
      <c r="V20" s="70"/>
    </row>
    <row r="21">
      <c r="A21" s="1"/>
      <c r="B21" s="83" t="str">
        <v>成本合计（产品+物流）</v>
      </c>
      <c r="C21" s="115">
        <f>SUM(C18,C20)</f>
      </c>
      <c r="D21" s="115">
        <f>SUM(D18,D20)</f>
      </c>
      <c r="E21" s="115">
        <f>SUM(E18,E20)</f>
      </c>
      <c r="F21" s="115">
        <f>SUM(F18,F20)</f>
      </c>
      <c r="G21" s="115">
        <f>SUM(G18,G20)</f>
      </c>
      <c r="H21" s="115">
        <f>SUM(H18,H20)</f>
      </c>
      <c r="I21" s="115">
        <f>SUM(I18,I20)</f>
      </c>
      <c r="J21" s="115">
        <f>SUM(J18,J20)</f>
      </c>
      <c r="K21" s="115">
        <f>SUM(K18,K20)</f>
      </c>
      <c r="L21" s="115">
        <f>SUM(L18,L20)</f>
      </c>
      <c r="M21" s="115">
        <f>SUM(M18,M20)</f>
      </c>
      <c r="N21" s="115">
        <f>SUM(N18,N20)</f>
      </c>
      <c r="O21" s="115">
        <f>SUM(C21:N21)</f>
      </c>
      <c r="P21" s="116">
        <f>O21/$O$16</f>
      </c>
      <c r="Q21" s="1"/>
      <c r="R21" s="158"/>
      <c r="S21" s="1"/>
      <c r="T21" s="119">
        <f>O21-'淘系'!O21-'淘系达播'!O21-'抖音'!O21-'抖音达播'!O21-'快手'!O21-'京东POP财经口径'!O21-'京东自营财经口径'!O21-PDD!O21-'得物'!O21-'视频号+官网+小程序'!O21-'唯品会'!O21-'线下门店-直营'!O21-'线下门店-经销'!O21-'线下渠道'!O21</f>
      </c>
      <c r="U21" s="70"/>
      <c r="V21" s="70"/>
    </row>
    <row r="22">
      <c r="A22" s="135"/>
      <c r="B22" s="98" t="str">
        <v>净毛利</v>
      </c>
      <c r="C22" s="98">
        <f>C16-C21</f>
      </c>
      <c r="D22" s="98">
        <f>D16-D21</f>
      </c>
      <c r="E22" s="98">
        <f>E16-E21</f>
      </c>
      <c r="F22" s="98">
        <f>F16-F21</f>
      </c>
      <c r="G22" s="98">
        <f>G16-G21</f>
      </c>
      <c r="H22" s="98">
        <f>H16-H21</f>
      </c>
      <c r="I22" s="98">
        <f>I16-I21</f>
      </c>
      <c r="J22" s="98">
        <f>J16-J21</f>
      </c>
      <c r="K22" s="98">
        <f>K16-K21</f>
      </c>
      <c r="L22" s="98">
        <f>L16-L21</f>
      </c>
      <c r="M22" s="98">
        <f>M16-M21</f>
      </c>
      <c r="N22" s="98">
        <f>N16-N21</f>
      </c>
      <c r="O22" s="98">
        <f>SUM(C22:N22)</f>
      </c>
      <c r="P22" s="162">
        <f>O22/$O$16</f>
      </c>
      <c r="Q22" s="1"/>
      <c r="R22" s="1"/>
      <c r="S22" s="1"/>
      <c r="T22" s="119">
        <f>O22-'淘系'!O22-'淘系达播'!O22-'抖音'!O22-'抖音达播'!O22-'快手'!O22-'京东POP财经口径'!O22-'京东自营财经口径'!O22-PDD!O22-'得物'!O22-'视频号+官网+小程序'!O22-'唯品会'!O22-'线下门店-直营'!O22-'线下门店-经销'!O22-'线下渠道'!O22</f>
      </c>
      <c r="U22" s="70"/>
      <c r="V22" s="70"/>
    </row>
    <row r="23">
      <c r="A23" s="1"/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120"/>
      <c r="Q23" s="1"/>
      <c r="R23" s="1" t="str">
        <v>top down 毛利53%</v>
      </c>
      <c r="S23" s="1"/>
      <c r="T23" s="119">
        <f>O23-'淘系'!O23-'淘系达播'!O23-'抖音'!O23-'抖音达播'!O23-'快手'!O23-'京东POP财经口径'!O23-'京东自营财经口径'!O23-PDD!O23-'得物'!O23-'视频号+官网+小程序'!O23-'唯品会'!O23-'线下门店-直营'!O23-'线下门店-经销'!O23-'线下渠道'!O23</f>
      </c>
      <c r="U23" s="70"/>
      <c r="V23" s="70"/>
    </row>
    <row r="24">
      <c r="A24" s="1"/>
      <c r="B24" s="102" t="str">
        <v>合计毛利率</v>
      </c>
      <c r="C24" s="165">
        <f>IFERROR(1-C21/C16,0)</f>
      </c>
      <c r="D24" s="165">
        <f>IFERROR(1-D21/D16,0)</f>
      </c>
      <c r="E24" s="165">
        <f>IFERROR(1-E21/E16,0)</f>
      </c>
      <c r="F24" s="165">
        <f>IFERROR(1-F21/F16,0)</f>
      </c>
      <c r="G24" s="165">
        <f>IFERROR(1-G21/G16,0)</f>
      </c>
      <c r="H24" s="165">
        <f>IFERROR(1-H21/H16,0)</f>
      </c>
      <c r="I24" s="165">
        <f>IFERROR(1-I21/I16,0)</f>
      </c>
      <c r="J24" s="165">
        <f>IFERROR(1-J21/J16,0)</f>
      </c>
      <c r="K24" s="165">
        <f>IFERROR(1-K21/K16,0)</f>
      </c>
      <c r="L24" s="165">
        <f>IFERROR(1-L21/L16,0)</f>
      </c>
      <c r="M24" s="165">
        <f>IFERROR(1-M21/M16,0)</f>
      </c>
      <c r="N24" s="165">
        <f>IFERROR(1-N21/N16,0)</f>
      </c>
      <c r="O24" s="165">
        <f>IFERROR(1-O21/O16,0)</f>
      </c>
      <c r="P24" s="120"/>
      <c r="Q24" s="1"/>
      <c r="R24" s="1"/>
      <c r="S24" s="1"/>
      <c r="T24" s="119">
        <f>O24-'淘系'!O24-'淘系达播'!O24-'抖音'!O24-'抖音达播'!O24-'快手'!O24-'京东POP财经口径'!O24-'京东自营财经口径'!O24-PDD!O24-'得物'!O24-'视频号+官网+小程序'!O24-'唯品会'!O24-'线下门店-直营'!O24-'线下门店-经销'!O24-'线下渠道'!O24</f>
      </c>
      <c r="U24" s="70"/>
      <c r="V24" s="70"/>
    </row>
    <row r="25">
      <c r="A25" s="1"/>
      <c r="B25" s="1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20"/>
      <c r="Q25" s="1"/>
      <c r="R25" s="1"/>
      <c r="S25" s="1"/>
      <c r="T25" s="119">
        <f>O25-'淘系'!O25-'淘系达播'!O25-'抖音'!O25-'抖音达播'!O25-'快手'!O25-'京东POP财经口径'!O25-'京东自营财经口径'!O25-PDD!O25-'得物'!O25-'视频号+官网+小程序'!O25-'唯品会'!O25-'线下门店-直营'!O25-'线下门店-经销'!O25-'线下渠道'!O25</f>
      </c>
      <c r="U25" s="70"/>
      <c r="V25" s="70"/>
    </row>
    <row customHeight="true" ht="19" r="26">
      <c r="A26" s="1"/>
      <c r="B26" s="129" t="str">
        <v>品牌及内容费用</v>
      </c>
      <c r="C26" s="129">
        <f>SUM(C27:C31)</f>
      </c>
      <c r="D26" s="129">
        <f>SUM(D27:D31)</f>
      </c>
      <c r="E26" s="129">
        <f>SUM(E27:E31)</f>
      </c>
      <c r="F26" s="129">
        <f>SUM(F27:F31)</f>
      </c>
      <c r="G26" s="129">
        <f>SUM(G27:G31)</f>
      </c>
      <c r="H26" s="129">
        <f>SUM(H27:H31)</f>
      </c>
      <c r="I26" s="129">
        <f>SUM(I27:I31)</f>
      </c>
      <c r="J26" s="129">
        <f>SUM(J27:J31)</f>
      </c>
      <c r="K26" s="129">
        <f>SUM(K27:K31)</f>
      </c>
      <c r="L26" s="129">
        <f>SUM(L27:L31)</f>
      </c>
      <c r="M26" s="129">
        <f>SUM(M27:M31)</f>
      </c>
      <c r="N26" s="129">
        <f>SUM(N27:N31)</f>
      </c>
      <c r="O26" s="129">
        <f>SUM(C26:N26)</f>
      </c>
      <c r="P26" s="128">
        <f>O26/$O$16</f>
      </c>
      <c r="Q26" s="1"/>
      <c r="R26" s="1"/>
      <c r="S26" s="1"/>
      <c r="T26" s="119">
        <f>O26-'淘系'!O26-'淘系达播'!O26-'抖音'!O26-'抖音达播'!O26-'快手'!O26-'京东POP财经口径'!O26-'京东自营财经口径'!O26-PDD!O26-'得物'!O26-'视频号+官网+小程序'!O26-'唯品会'!O26-'线下门店-直营'!O26-'线下门店-经销'!O26-'线下渠道'!O26</f>
      </c>
    </row>
    <row customHeight="true" ht="19" r="27">
      <c r="A27" s="118"/>
      <c r="B27" s="117" t="str">
        <v>展会</v>
      </c>
      <c r="C27" s="117">
        <f>'淘系'!C27+'抖音'!C27+PDD!C27+'得物'!C27+'京东自营财经口径'!C27+'京东POP财经口径'!C27+'视频号+官网+小程序'!C27+'快手'!C27+'唯品会'!C27+'线下门店-直营'!C27+'线下门店-经销'!C27+'线下渠道'!C27+'淘系达播'!C27+'抖音达播'!C27</f>
      </c>
      <c r="D27" s="117">
        <f>'淘系'!D27+'抖音'!D27+PDD!D27+'得物'!D27+'京东自营财经口径'!D27+'京东POP财经口径'!D27+'视频号+官网+小程序'!D27+'快手'!D27+'唯品会'!D27+'线下门店-直营'!D27+'线下门店-经销'!D27+'线下渠道'!D27+'淘系达播'!D27+'抖音达播'!D27</f>
      </c>
      <c r="E27" s="117">
        <f>'淘系'!E27+'抖音'!E27+PDD!E27+'得物'!E27+'京东自营财经口径'!E27+'京东POP财经口径'!E27+'视频号+官网+小程序'!E27+'快手'!E27+'唯品会'!E27+'线下门店-直营'!E27+'线下门店-经销'!E27+'线下渠道'!E27+'淘系达播'!E27+'抖音达播'!E27</f>
      </c>
      <c r="F27" s="117">
        <f>'淘系'!F27+'抖音'!F27+PDD!F27+'得物'!F27+'京东自营财经口径'!F27+'京东POP财经口径'!F27+'视频号+官网+小程序'!F27+'快手'!F27+'唯品会'!F27+'线下门店-直营'!F27+'线下门店-经销'!F27+'线下渠道'!F27+'淘系达播'!F27+'抖音达播'!F27</f>
      </c>
      <c r="G27" s="117">
        <f>'淘系'!G27+'抖音'!G27+PDD!G27+'得物'!G27+'京东自营财经口径'!G27+'京东POP财经口径'!G27+'视频号+官网+小程序'!G27+'快手'!G27+'唯品会'!G27+'线下门店-直营'!G27+'线下门店-经销'!G27+'线下渠道'!G27+'淘系达播'!G27+'抖音达播'!G27</f>
      </c>
      <c r="H27" s="117">
        <f>'淘系'!H27+'抖音'!H27+PDD!H27+'得物'!H27+'京东自营财经口径'!H27+'京东POP财经口径'!H27+'视频号+官网+小程序'!H27+'快手'!H27+'唯品会'!H27+'线下门店-直营'!H27+'线下门店-经销'!H27+'线下渠道'!H27+'淘系达播'!H27+'抖音达播'!H27</f>
      </c>
      <c r="I27" s="117">
        <f>'淘系'!I27+'抖音'!I27+PDD!I27+'得物'!I27+'京东自营财经口径'!I27+'京东POP财经口径'!I27+'视频号+官网+小程序'!I27+'快手'!I27+'唯品会'!I27+'线下门店-直营'!I27+'线下门店-经销'!I27+'线下渠道'!I27+'淘系达播'!I27+'抖音达播'!I27</f>
      </c>
      <c r="J27" s="117">
        <f>'淘系'!J27+'抖音'!J27+PDD!J27+'得物'!J27+'京东自营财经口径'!J27+'京东POP财经口径'!J27+'视频号+官网+小程序'!J27+'快手'!J27+'唯品会'!J27+'线下门店-直营'!J27+'线下门店-经销'!J27+'线下渠道'!J27+'淘系达播'!J27+'抖音达播'!J27</f>
      </c>
      <c r="K27" s="117">
        <f>'淘系'!K27+'抖音'!K27+PDD!K27+'得物'!K27+'京东自营财经口径'!K27+'京东POP财经口径'!K27+'视频号+官网+小程序'!K27+'快手'!K27+'唯品会'!K27+'线下门店-直营'!K27+'线下门店-经销'!K27+'线下渠道'!K27+'淘系达播'!K27+'抖音达播'!K27</f>
      </c>
      <c r="L27" s="117">
        <f>'淘系'!L27+'抖音'!L27+PDD!L27+'得物'!L27+'京东自营财经口径'!L27+'京东POP财经口径'!L27+'视频号+官网+小程序'!L27+'快手'!L27+'唯品会'!L27+'线下门店-直营'!L27+'线下门店-经销'!L27+'线下渠道'!L27+'淘系达播'!L27+'抖音达播'!L27</f>
      </c>
      <c r="M27" s="117">
        <f>'淘系'!M27+'抖音'!M27+PDD!M27+'得物'!M27+'京东自营财经口径'!M27+'京东POP财经口径'!M27+'视频号+官网+小程序'!M27+'快手'!M27+'唯品会'!M27+'线下门店-直营'!M27+'线下门店-经销'!M27+'线下渠道'!M27+'淘系达播'!M27+'抖音达播'!M27</f>
      </c>
      <c r="N27" s="117">
        <f>'淘系'!N27+'抖音'!N27+PDD!N27+'得物'!N27+'京东自营财经口径'!N27+'京东POP财经口径'!N27+'视频号+官网+小程序'!N27+'快手'!N27+'唯品会'!N27+'线下门店-直营'!N27+'线下门店-经销'!N27+'线下渠道'!N27+'淘系达播'!N27+'抖音达播'!N27</f>
      </c>
      <c r="O27" s="117">
        <f>SUM(C27:N27)</f>
      </c>
      <c r="P27" s="120">
        <f>O27/$O$16</f>
      </c>
      <c r="Q27" s="90"/>
      <c r="R27" s="1"/>
      <c r="S27" s="1"/>
      <c r="T27" s="119">
        <f>O27-'淘系'!O27-'淘系达播'!O27-'抖音'!O27-'抖音达播'!O27-'快手'!O27-'京东POP财经口径'!O27-'京东自营财经口径'!O27-PDD!O27-'得物'!O27-'视频号+官网+小程序'!O27-'唯品会'!O27-'线下门店-直营'!O27-'线下门店-经销'!O27-'线下渠道'!O27</f>
      </c>
    </row>
    <row customHeight="true" ht="19" r="28">
      <c r="A28" s="118"/>
      <c r="B28" s="117" t="str">
        <v>品牌营销</v>
      </c>
      <c r="C28" s="117">
        <f>'淘系'!C28+'抖音'!C28+PDD!C28+'得物'!C28+'京东自营财经口径'!C28+'京东POP财经口径'!C28+'视频号+官网+小程序'!C28+'快手'!C28+'唯品会'!C28+'线下门店-直营'!C28+'线下门店-经销'!C28+'线下渠道'!C28+'淘系达播'!C28+'抖音达播'!C28</f>
      </c>
      <c r="D28" s="117">
        <f>'淘系'!D28+'抖音'!D28+PDD!D28+'得物'!D28+'京东自营财经口径'!D28+'京东POP财经口径'!D28+'视频号+官网+小程序'!D28+'快手'!D28+'唯品会'!D28+'线下门店-直营'!D28+'线下门店-经销'!D28+'线下渠道'!D28+'淘系达播'!D28+'抖音达播'!D28</f>
      </c>
      <c r="E28" s="117">
        <f>'淘系'!E28+'抖音'!E28+PDD!E28+'得物'!E28+'京东自营财经口径'!E28+'京东POP财经口径'!E28+'视频号+官网+小程序'!E28+'快手'!E28+'唯品会'!E28+'线下门店-直营'!E28+'线下门店-经销'!E28+'线下渠道'!E28+'淘系达播'!E28+'抖音达播'!E28</f>
      </c>
      <c r="F28" s="117">
        <f>'淘系'!F28+'抖音'!F28+PDD!F28+'得物'!F28+'京东自营财经口径'!F28+'京东POP财经口径'!F28+'视频号+官网+小程序'!F28+'快手'!F28+'唯品会'!F28+'线下门店-直营'!F28+'线下门店-经销'!F28+'线下渠道'!F28+'淘系达播'!F28+'抖音达播'!F28</f>
      </c>
      <c r="G28" s="117">
        <f>'淘系'!G28+'抖音'!G28+PDD!G28+'得物'!G28+'京东自营财经口径'!G28+'京东POP财经口径'!G28+'视频号+官网+小程序'!G28+'快手'!G28+'唯品会'!G28+'线下门店-直营'!G28+'线下门店-经销'!G28+'线下渠道'!G28+'淘系达播'!G28+'抖音达播'!G28</f>
      </c>
      <c r="H28" s="117">
        <f>'淘系'!H28+'抖音'!H28+PDD!H28+'得物'!H28+'京东自营财经口径'!H28+'京东POP财经口径'!H28+'视频号+官网+小程序'!H28+'快手'!H28+'唯品会'!H28+'线下门店-直营'!H28+'线下门店-经销'!H28+'线下渠道'!H28+'淘系达播'!H28+'抖音达播'!H28</f>
      </c>
      <c r="I28" s="117">
        <f>'淘系'!I28+'抖音'!I28+PDD!I28+'得物'!I28+'京东自营财经口径'!I28+'京东POP财经口径'!I28+'视频号+官网+小程序'!I28+'快手'!I28+'唯品会'!I28+'线下门店-直营'!I28+'线下门店-经销'!I28+'线下渠道'!I28+'淘系达播'!I28+'抖音达播'!I28</f>
      </c>
      <c r="J28" s="117">
        <f>'淘系'!J28+'抖音'!J28+PDD!J28+'得物'!J28+'京东自营财经口径'!J28+'京东POP财经口径'!J28+'视频号+官网+小程序'!J28+'快手'!J28+'唯品会'!J28+'线下门店-直营'!J28+'线下门店-经销'!J28+'线下渠道'!J28+'淘系达播'!J28+'抖音达播'!J28</f>
      </c>
      <c r="K28" s="117">
        <f>'淘系'!K28+'抖音'!K28+PDD!K28+'得物'!K28+'京东自营财经口径'!K28+'京东POP财经口径'!K28+'视频号+官网+小程序'!K28+'快手'!K28+'唯品会'!K28+'线下门店-直营'!K28+'线下门店-经销'!K28+'线下渠道'!K28+'淘系达播'!K28+'抖音达播'!K28</f>
      </c>
      <c r="L28" s="117">
        <f>'淘系'!L28+'抖音'!L28+PDD!L28+'得物'!L28+'京东自营财经口径'!L28+'京东POP财经口径'!L28+'视频号+官网+小程序'!L28+'快手'!L28+'唯品会'!L28+'线下门店-直营'!L28+'线下门店-经销'!L28+'线下渠道'!L28+'淘系达播'!L28+'抖音达播'!L28</f>
      </c>
      <c r="M28" s="117">
        <f>'淘系'!M28+'抖音'!M28+PDD!M28+'得物'!M28+'京东自营财经口径'!M28+'京东POP财经口径'!M28+'视频号+官网+小程序'!M28+'快手'!M28+'唯品会'!M28+'线下门店-直营'!M28+'线下门店-经销'!M28+'线下渠道'!M28+'淘系达播'!M28+'抖音达播'!M28</f>
      </c>
      <c r="N28" s="117">
        <f>'淘系'!N28+'抖音'!N28+PDD!N28+'得物'!N28+'京东自营财经口径'!N28+'京东POP财经口径'!N28+'视频号+官网+小程序'!N28+'快手'!N28+'唯品会'!N28+'线下门店-直营'!N28+'线下门店-经销'!N28+'线下渠道'!N28+'淘系达播'!N28+'抖音达播'!N28</f>
      </c>
      <c r="O28" s="117">
        <f>SUM(C28:N28)</f>
      </c>
      <c r="P28" s="120">
        <f>O28/$O$16</f>
      </c>
      <c r="Q28" s="90"/>
      <c r="R28" s="1"/>
      <c r="S28" s="1"/>
      <c r="T28" s="119">
        <f>O28-'淘系'!O28-'淘系达播'!O28-'抖音'!O28-'抖音达播'!O28-'快手'!O28-'京东POP财经口径'!O28-'京东自营财经口径'!O28-PDD!O28-'得物'!O28-'视频号+官网+小程序'!O28-'唯品会'!O28-'线下门店-直营'!O28-'线下门店-经销'!O28-'线下渠道'!O28</f>
      </c>
    </row>
    <row customHeight="true" ht="19" r="29">
      <c r="A29" s="118"/>
      <c r="B29" s="117" t="str">
        <v>内容素材制作</v>
      </c>
      <c r="C29" s="117">
        <f>'淘系'!C29+'抖音'!C29+PDD!C29+'得物'!C29+'京东自营财经口径'!C29+'京东POP财经口径'!C29+'视频号+官网+小程序'!C29+'快手'!C29+'唯品会'!C29+'线下门店-直营'!C29+'线下门店-经销'!C29+'线下渠道'!C29+'淘系达播'!C29+'抖音达播'!C29</f>
      </c>
      <c r="D29" s="117">
        <f>'淘系'!D29+'抖音'!D29+PDD!D29+'得物'!D29+'京东自营财经口径'!D29+'京东POP财经口径'!D29+'视频号+官网+小程序'!D29+'快手'!D29+'唯品会'!D29+'线下门店-直营'!D29+'线下门店-经销'!D29+'线下渠道'!D29+'淘系达播'!D29+'抖音达播'!D29</f>
      </c>
      <c r="E29" s="117">
        <f>'淘系'!E29+'抖音'!E29+PDD!E29+'得物'!E29+'京东自营财经口径'!E29+'京东POP财经口径'!E29+'视频号+官网+小程序'!E29+'快手'!E29+'唯品会'!E29+'线下门店-直营'!E29+'线下门店-经销'!E29+'线下渠道'!E29+'淘系达播'!E29+'抖音达播'!E29</f>
      </c>
      <c r="F29" s="117">
        <f>'淘系'!F29+'抖音'!F29+PDD!F29+'得物'!F29+'京东自营财经口径'!F29+'京东POP财经口径'!F29+'视频号+官网+小程序'!F29+'快手'!F29+'唯品会'!F29+'线下门店-直营'!F29+'线下门店-经销'!F29+'线下渠道'!F29+'淘系达播'!F29+'抖音达播'!F29</f>
      </c>
      <c r="G29" s="117">
        <f>'淘系'!G29+'抖音'!G29+PDD!G29+'得物'!G29+'京东自营财经口径'!G29+'京东POP财经口径'!G29+'视频号+官网+小程序'!G29+'快手'!G29+'唯品会'!G29+'线下门店-直营'!G29+'线下门店-经销'!G29+'线下渠道'!G29+'淘系达播'!G29+'抖音达播'!G29</f>
      </c>
      <c r="H29" s="117">
        <f>'淘系'!H29+'抖音'!H29+PDD!H29+'得物'!H29+'京东自营财经口径'!H29+'京东POP财经口径'!H29+'视频号+官网+小程序'!H29+'快手'!H29+'唯品会'!H29+'线下门店-直营'!H29+'线下门店-经销'!H29+'线下渠道'!H29+'淘系达播'!H29+'抖音达播'!H29</f>
      </c>
      <c r="I29" s="117">
        <f>'淘系'!I29+'抖音'!I29+PDD!I29+'得物'!I29+'京东自营财经口径'!I29+'京东POP财经口径'!I29+'视频号+官网+小程序'!I29+'快手'!I29+'唯品会'!I29+'线下门店-直营'!I29+'线下门店-经销'!I29+'线下渠道'!I29+'淘系达播'!I29+'抖音达播'!I29</f>
      </c>
      <c r="J29" s="117">
        <f>'淘系'!J29+'抖音'!J29+PDD!J29+'得物'!J29+'京东自营财经口径'!J29+'京东POP财经口径'!J29+'视频号+官网+小程序'!J29+'快手'!J29+'唯品会'!J29+'线下门店-直营'!J29+'线下门店-经销'!J29+'线下渠道'!J29+'淘系达播'!J29+'抖音达播'!J29</f>
      </c>
      <c r="K29" s="117">
        <f>'淘系'!K29+'抖音'!K29+PDD!K29+'得物'!K29+'京东自营财经口径'!K29+'京东POP财经口径'!K29+'视频号+官网+小程序'!K29+'快手'!K29+'唯品会'!K29+'线下门店-直营'!K29+'线下门店-经销'!K29+'线下渠道'!K29+'淘系达播'!K29+'抖音达播'!K29</f>
      </c>
      <c r="L29" s="117">
        <f>'淘系'!L29+'抖音'!L29+PDD!L29+'得物'!L29+'京东自营财经口径'!L29+'京东POP财经口径'!L29+'视频号+官网+小程序'!L29+'快手'!L29+'唯品会'!L29+'线下门店-直营'!L29+'线下门店-经销'!L29+'线下渠道'!L29+'淘系达播'!L29+'抖音达播'!L29</f>
      </c>
      <c r="M29" s="117">
        <f>'淘系'!M29+'抖音'!M29+PDD!M29+'得物'!M29+'京东自营财经口径'!M29+'京东POP财经口径'!M29+'视频号+官网+小程序'!M29+'快手'!M29+'唯品会'!M29+'线下门店-直营'!M29+'线下门店-经销'!M29+'线下渠道'!M29+'淘系达播'!M29+'抖音达播'!M29</f>
      </c>
      <c r="N29" s="117">
        <f>'淘系'!N29+'抖音'!N29+PDD!N29+'得物'!N29+'京东自营财经口径'!N29+'京东POP财经口径'!N29+'视频号+官网+小程序'!N29+'快手'!N29+'唯品会'!N29+'线下门店-直营'!N29+'线下门店-经销'!N29+'线下渠道'!N29+'淘系达播'!N29+'抖音达播'!N29</f>
      </c>
      <c r="O29" s="117">
        <f>SUM(C29:N29)</f>
      </c>
      <c r="P29" s="120">
        <f>O29/$O$16</f>
      </c>
      <c r="Q29" s="1"/>
      <c r="R29" s="1"/>
      <c r="S29" s="1"/>
      <c r="T29" s="119">
        <f>O29-'淘系'!O29-'淘系达播'!O29-'抖音'!O29-'抖音达播'!O29-'快手'!O29-'京东POP财经口径'!O29-'京东自营财经口径'!O29-PDD!O29-'得物'!O29-'视频号+官网+小程序'!O29-'唯品会'!O29-'线下门店-直营'!O29-'线下门店-经销'!O29-'线下渠道'!O29</f>
      </c>
    </row>
    <row customHeight="true" ht="19" r="30">
      <c r="A30" s="118"/>
      <c r="B30" s="117" t="str">
        <v>公关费用</v>
      </c>
      <c r="C30" s="117">
        <f>'淘系'!C30+'抖音'!C30+PDD!C30+'得物'!C30+'京东自营财经口径'!C30+'京东POP财经口径'!C30+'视频号+官网+小程序'!C30+'快手'!C30+'唯品会'!C30+'线下门店-直营'!C30+'线下门店-经销'!C30+'线下渠道'!C30+'淘系达播'!C30+'抖音达播'!C30</f>
      </c>
      <c r="D30" s="117">
        <f>'淘系'!D30+'抖音'!D30+PDD!D30+'得物'!D30+'京东自营财经口径'!D30+'京东POP财经口径'!D30+'视频号+官网+小程序'!D30+'快手'!D30+'唯品会'!D30+'线下门店-直营'!D30+'线下门店-经销'!D30+'线下渠道'!D30+'淘系达播'!D30+'抖音达播'!D30</f>
      </c>
      <c r="E30" s="117">
        <f>'淘系'!E30+'抖音'!E30+PDD!E30+'得物'!E30+'京东自营财经口径'!E30+'京东POP财经口径'!E30+'视频号+官网+小程序'!E30+'快手'!E30+'唯品会'!E30+'线下门店-直营'!E30+'线下门店-经销'!E30+'线下渠道'!E30+'淘系达播'!E30+'抖音达播'!E30</f>
      </c>
      <c r="F30" s="117">
        <f>'淘系'!F30+'抖音'!F30+PDD!F30+'得物'!F30+'京东自营财经口径'!F30+'京东POP财经口径'!F30+'视频号+官网+小程序'!F30+'快手'!F30+'唯品会'!F30+'线下门店-直营'!F30+'线下门店-经销'!F30+'线下渠道'!F30+'淘系达播'!F30+'抖音达播'!F30</f>
      </c>
      <c r="G30" s="117">
        <f>'淘系'!G30+'抖音'!G30+PDD!G30+'得物'!G30+'京东自营财经口径'!G30+'京东POP财经口径'!G30+'视频号+官网+小程序'!G30+'快手'!G30+'唯品会'!G30+'线下门店-直营'!G30+'线下门店-经销'!G30+'线下渠道'!G30+'淘系达播'!G30+'抖音达播'!G30</f>
      </c>
      <c r="H30" s="117">
        <f>'淘系'!H30+'抖音'!H30+PDD!H30+'得物'!H30+'京东自营财经口径'!H30+'京东POP财经口径'!H30+'视频号+官网+小程序'!H30+'快手'!H30+'唯品会'!H30+'线下门店-直营'!H30+'线下门店-经销'!H30+'线下渠道'!H30+'淘系达播'!H30+'抖音达播'!H30</f>
      </c>
      <c r="I30" s="117">
        <f>'淘系'!I30+'抖音'!I30+PDD!I30+'得物'!I30+'京东自营财经口径'!I30+'京东POP财经口径'!I30+'视频号+官网+小程序'!I30+'快手'!I30+'唯品会'!I30+'线下门店-直营'!I30+'线下门店-经销'!I30+'线下渠道'!I30+'淘系达播'!I30+'抖音达播'!I30</f>
      </c>
      <c r="J30" s="117">
        <f>'淘系'!J30+'抖音'!J30+PDD!J30+'得物'!J30+'京东自营财经口径'!J30+'京东POP财经口径'!J30+'视频号+官网+小程序'!J30+'快手'!J30+'唯品会'!J30+'线下门店-直营'!J30+'线下门店-经销'!J30+'线下渠道'!J30+'淘系达播'!J30+'抖音达播'!J30</f>
      </c>
      <c r="K30" s="117">
        <f>'淘系'!K30+'抖音'!K30+PDD!K30+'得物'!K30+'京东自营财经口径'!K30+'京东POP财经口径'!K30+'视频号+官网+小程序'!K30+'快手'!K30+'唯品会'!K30+'线下门店-直营'!K30+'线下门店-经销'!K30+'线下渠道'!K30+'淘系达播'!K30+'抖音达播'!K30</f>
      </c>
      <c r="L30" s="117">
        <f>'淘系'!L30+'抖音'!L30+PDD!L30+'得物'!L30+'京东自营财经口径'!L30+'京东POP财经口径'!L30+'视频号+官网+小程序'!L30+'快手'!L30+'唯品会'!L30+'线下门店-直营'!L30+'线下门店-经销'!L30+'线下渠道'!L30+'淘系达播'!L30+'抖音达播'!L30</f>
      </c>
      <c r="M30" s="117">
        <f>'淘系'!M30+'抖音'!M30+PDD!M30+'得物'!M30+'京东自营财经口径'!M30+'京东POP财经口径'!M30+'视频号+官网+小程序'!M30+'快手'!M30+'唯品会'!M30+'线下门店-直营'!M30+'线下门店-经销'!M30+'线下渠道'!M30+'淘系达播'!M30+'抖音达播'!M30</f>
      </c>
      <c r="N30" s="117">
        <f>'淘系'!N30+'抖音'!N30+PDD!N30+'得物'!N30+'京东自营财经口径'!N30+'京东POP财经口径'!N30+'视频号+官网+小程序'!N30+'快手'!N30+'唯品会'!N30+'线下门店-直营'!N30+'线下门店-经销'!N30+'线下渠道'!N30+'淘系达播'!N30+'抖音达播'!N30</f>
      </c>
      <c r="O30" s="117">
        <f>SUM(C30:N30)</f>
      </c>
      <c r="P30" s="120">
        <f>O30/$O$16</f>
      </c>
      <c r="Q30" s="1"/>
      <c r="R30" s="1"/>
      <c r="S30" s="1"/>
      <c r="T30" s="119">
        <f>O30-'淘系'!O30-'淘系达播'!O30-'抖音'!O30-'抖音达播'!O30-'快手'!O30-'京东POP财经口径'!O30-'京东自营财经口径'!O30-PDD!O30-'得物'!O30-'视频号+官网+小程序'!O30-'唯品会'!O30-'线下门店-直营'!O30-'线下门店-经销'!O30-'线下渠道'!O30</f>
      </c>
    </row>
    <row collapsed="true" customHeight="true" ht="19" r="31">
      <c r="A31" s="118"/>
      <c r="B31" s="117" t="str">
        <v>达人种草、样机及加热</v>
      </c>
      <c r="C31" s="117">
        <f>'淘系'!C31+'抖音'!C31+PDD!C31+'得物'!C31+'京东自营财经口径'!C31+'京东POP财经口径'!C31+'视频号+官网+小程序'!C31+'快手'!C31+'唯品会'!C31+'线下门店-直营'!C31+'线下门店-经销'!C31+'线下渠道'!C31+'淘系达播'!C31+'抖音达播'!C31</f>
      </c>
      <c r="D31" s="117">
        <f>'淘系'!D31+'抖音'!D31+PDD!D31+'得物'!D31+'京东自营财经口径'!D31+'京东POP财经口径'!D31+'视频号+官网+小程序'!D31+'快手'!D31+'唯品会'!D31+'线下门店-直营'!D31+'线下门店-经销'!D31+'线下渠道'!D31+'淘系达播'!D31+'抖音达播'!D31</f>
      </c>
      <c r="E31" s="117">
        <f>'淘系'!E31+'抖音'!E31+PDD!E31+'得物'!E31+'京东自营财经口径'!E31+'京东POP财经口径'!E31+'视频号+官网+小程序'!E31+'快手'!E31+'唯品会'!E31+'线下门店-直营'!E31+'线下门店-经销'!E31+'线下渠道'!E31+'淘系达播'!E31+'抖音达播'!E31</f>
      </c>
      <c r="F31" s="117">
        <f>'淘系'!F31+'抖音'!F31+PDD!F31+'得物'!F31+'京东自营财经口径'!F31+'京东POP财经口径'!F31+'视频号+官网+小程序'!F31+'快手'!F31+'唯品会'!F31+'线下门店-直营'!F31+'线下门店-经销'!F31+'线下渠道'!F31+'淘系达播'!F31+'抖音达播'!F31</f>
      </c>
      <c r="G31" s="117">
        <f>'淘系'!G31+'抖音'!G31+PDD!G31+'得物'!G31+'京东自营财经口径'!G31+'京东POP财经口径'!G31+'视频号+官网+小程序'!G31+'快手'!G31+'唯品会'!G31+'线下门店-直营'!G31+'线下门店-经销'!G31+'线下渠道'!G31+'淘系达播'!G31+'抖音达播'!G31</f>
      </c>
      <c r="H31" s="117">
        <f>'淘系'!H31+'抖音'!H31+PDD!H31+'得物'!H31+'京东自营财经口径'!H31+'京东POP财经口径'!H31+'视频号+官网+小程序'!H31+'快手'!H31+'唯品会'!H31+'线下门店-直营'!H31+'线下门店-经销'!H31+'线下渠道'!H31+'淘系达播'!H31+'抖音达播'!H31</f>
      </c>
      <c r="I31" s="117">
        <f>'淘系'!I31+'抖音'!I31+PDD!I31+'得物'!I31+'京东自营财经口径'!I31+'京东POP财经口径'!I31+'视频号+官网+小程序'!I31+'快手'!I31+'唯品会'!I31+'线下门店-直营'!I31+'线下门店-经销'!I31+'线下渠道'!I31+'淘系达播'!I31+'抖音达播'!I31</f>
      </c>
      <c r="J31" s="117">
        <f>'淘系'!J31+'抖音'!J31+PDD!J31+'得物'!J31+'京东自营财经口径'!J31+'京东POP财经口径'!J31+'视频号+官网+小程序'!J31+'快手'!J31+'唯品会'!J31+'线下门店-直营'!J31+'线下门店-经销'!J31+'线下渠道'!J31+'淘系达播'!J31+'抖音达播'!J31</f>
      </c>
      <c r="K31" s="117">
        <f>'淘系'!K31+'抖音'!K31+PDD!K31+'得物'!K31+'京东自营财经口径'!K31+'京东POP财经口径'!K31+'视频号+官网+小程序'!K31+'快手'!K31+'唯品会'!K31+'线下门店-直营'!K31+'线下门店-经销'!K31+'线下渠道'!K31+'淘系达播'!K31+'抖音达播'!K31</f>
      </c>
      <c r="L31" s="117">
        <f>'淘系'!L31+'抖音'!L31+PDD!L31+'得物'!L31+'京东自营财经口径'!L31+'京东POP财经口径'!L31+'视频号+官网+小程序'!L31+'快手'!L31+'唯品会'!L31+'线下门店-直营'!L31+'线下门店-经销'!L31+'线下渠道'!L31+'淘系达播'!L31+'抖音达播'!L31</f>
      </c>
      <c r="M31" s="117">
        <f>'淘系'!M31+'抖音'!M31+PDD!M31+'得物'!M31+'京东自营财经口径'!M31+'京东POP财经口径'!M31+'视频号+官网+小程序'!M31+'快手'!M31+'唯品会'!M31+'线下门店-直营'!M31+'线下门店-经销'!M31+'线下渠道'!M31+'淘系达播'!M31+'抖音达播'!M31</f>
      </c>
      <c r="N31" s="117">
        <f>'淘系'!N31+'抖音'!N31+PDD!N31+'得物'!N31+'京东自营财经口径'!N31+'京东POP财经口径'!N31+'视频号+官网+小程序'!N31+'快手'!N31+'唯品会'!N31+'线下门店-直营'!N31+'线下门店-经销'!N31+'线下渠道'!N31+'淘系达播'!N31+'抖音达播'!N31</f>
      </c>
      <c r="O31" s="117">
        <f>SUM(C31:N31)</f>
      </c>
      <c r="P31" s="120">
        <f>O31/$O$16</f>
      </c>
      <c r="Q31" s="1"/>
      <c r="R31" s="1"/>
      <c r="S31" s="1"/>
      <c r="T31" s="119">
        <f>O31-'淘系'!O31-'淘系达播'!O31-'抖音'!O31-'抖音达播'!O31-'快手'!O31-'京东POP财经口径'!O31-'京东自营财经口径'!O31-PDD!O31-'得物'!O31-'视频号+官网+小程序'!O31-'唯品会'!O31-'线下门店-直营'!O31-'线下门店-经销'!O31-'线下渠道'!O31</f>
      </c>
    </row>
    <row customHeight="true" hidden="true" ht="19" outlineLevel="1" r="32">
      <c r="A32" s="118"/>
      <c r="B32" s="117" t="str">
        <v>展会(费率)</v>
      </c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20"/>
      <c r="Q32" s="1"/>
      <c r="R32" s="1"/>
      <c r="S32" s="1"/>
      <c r="T32" s="119">
        <f>O32-'淘系'!O32-'淘系达播'!O32-'抖音'!O32-'抖音达播'!O32-'快手'!O32-'京东POP财经口径'!O32-'京东自营财经口径'!O32-PDD!O32-'得物'!O32-'视频号+官网+小程序'!O32-'唯品会'!O32-'线下门店-直营'!O32-'线下门店-经销'!O32-'线下渠道'!O32</f>
      </c>
    </row>
    <row customHeight="true" hidden="true" ht="19" outlineLevel="1" r="33">
      <c r="A33" s="118"/>
      <c r="B33" s="117" t="str">
        <v>品牌营销（费率）</v>
      </c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20"/>
      <c r="Q33" s="1"/>
      <c r="R33" s="1"/>
      <c r="S33" s="1"/>
      <c r="T33" s="119">
        <f>O33-'淘系'!O33-'淘系达播'!O33-'抖音'!O33-'抖音达播'!O33-'快手'!O33-'京东POP财经口径'!O33-'京东自营财经口径'!O33-PDD!O33-'得物'!O33-'视频号+官网+小程序'!O33-'唯品会'!O33-'线下门店-直营'!O33-'线下门店-经销'!O33-'线下渠道'!O33</f>
      </c>
    </row>
    <row customHeight="true" hidden="true" ht="19" outlineLevel="1" r="34">
      <c r="A34" s="118"/>
      <c r="B34" s="117" t="str">
        <v>内容素材制作（费率）</v>
      </c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20"/>
      <c r="Q34" s="1"/>
      <c r="T34" s="119">
        <f>O34-'淘系'!O34-'淘系达播'!O34-'抖音'!O34-'抖音达播'!O34-'快手'!O34-'京东POP财经口径'!O34-'京东自营财经口径'!O34-PDD!O34-'得物'!O34-'视频号+官网+小程序'!O34-'唯品会'!O34-'线下门店-直营'!O34-'线下门店-经销'!O34-'线下渠道'!O34</f>
      </c>
    </row>
    <row customHeight="true" hidden="true" ht="19" outlineLevel="1" r="35">
      <c r="A35" s="118"/>
      <c r="B35" s="117" t="str">
        <v>公关费用（费率）</v>
      </c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20"/>
      <c r="Q35" s="1"/>
      <c r="T35" s="119">
        <f>O35-'淘系'!O35-'淘系达播'!O35-'抖音'!O35-'抖音达播'!O35-'快手'!O35-'京东POP财经口径'!O35-'京东自营财经口径'!O35-PDD!O35-'得物'!O35-'视频号+官网+小程序'!O35-'唯品会'!O35-'线下门店-直营'!O35-'线下门店-经销'!O35-'线下渠道'!O35</f>
      </c>
    </row>
    <row customHeight="true" hidden="true" ht="19" outlineLevel="1" r="36">
      <c r="A36" s="118"/>
      <c r="B36" s="117" t="str">
        <v>达人种草、样机及加热（费率）</v>
      </c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20"/>
      <c r="Q36" s="1"/>
      <c r="T36" s="119">
        <f>O36-'淘系'!O36-'淘系达播'!O36-'抖音'!O36-'抖音达播'!O36-'快手'!O36-'京东POP财经口径'!O36-'京东自营财经口径'!O36-PDD!O36-'得物'!O36-'视频号+官网+小程序'!O36-'唯品会'!O36-'线下门店-直营'!O36-'线下门店-经销'!O36-'线下渠道'!O36</f>
      </c>
    </row>
    <row r="37">
      <c r="A37" s="1"/>
      <c r="B37" s="129" t="str">
        <v>效果广告</v>
      </c>
      <c r="C37" s="129">
        <f>SUM(C38:C40)</f>
      </c>
      <c r="D37" s="129">
        <f>SUM(D38:D40)</f>
      </c>
      <c r="E37" s="129">
        <f>SUM(E38:E40)</f>
      </c>
      <c r="F37" s="129">
        <f>SUM(F38:F40)</f>
      </c>
      <c r="G37" s="129">
        <f>SUM(G38:G40)</f>
      </c>
      <c r="H37" s="129">
        <f>SUM(H38:H40)</f>
      </c>
      <c r="I37" s="129">
        <f>SUM(I38:I40)</f>
      </c>
      <c r="J37" s="129">
        <f>SUM(J38:J40)</f>
      </c>
      <c r="K37" s="129">
        <f>SUM(K38:K40)</f>
      </c>
      <c r="L37" s="129">
        <f>SUM(L38:L40)</f>
      </c>
      <c r="M37" s="129">
        <f>SUM(M38:M40)</f>
      </c>
      <c r="N37" s="129">
        <f>SUM(N38:N40)</f>
      </c>
      <c r="O37" s="129">
        <f>SUM(C37:N37)</f>
      </c>
      <c r="P37" s="128">
        <f>O37/$O$16</f>
      </c>
      <c r="Q37" s="1"/>
      <c r="R37" s="70">
        <f>O16*20.5%</f>
      </c>
      <c r="S37" s="15"/>
      <c r="T37" s="119">
        <f>O37-'淘系'!O37-'淘系达播'!O37-'抖音'!O37-'抖音达播'!O37-'快手'!O37-'京东POP财经口径'!O37-'京东自营财经口径'!O37-PDD!O37-'得物'!O37-'视频号+官网+小程序'!O37-'唯品会'!O37-'线下门店-直营'!O37-'线下门店-经销'!O37-'线下渠道'!O37</f>
      </c>
      <c r="U37" s="70"/>
      <c r="V37" s="70"/>
    </row>
    <row r="38">
      <c r="A38" s="118"/>
      <c r="B38" s="117" t="str">
        <v>站内投放</v>
      </c>
      <c r="C38" s="117">
        <f>'淘系'!C38+'抖音'!C38+PDD!C38+'得物'!C38+'京东自营财经口径'!C38+'京东POP财经口径'!C38+'视频号+官网+小程序'!C38+'快手'!C38+'唯品会'!C38+'线下门店-直营'!C38+'线下门店-经销'!C38+'线下渠道'!C38+'淘系达播'!C38+'抖音达播'!C38</f>
      </c>
      <c r="D38" s="117">
        <f>'淘系'!D38+'抖音'!D38+PDD!D38+'得物'!D38+'京东自营财经口径'!D38+'京东POP财经口径'!D38+'视频号+官网+小程序'!D38+'快手'!D38+'唯品会'!D38+'线下门店-直营'!D38+'线下门店-经销'!D38+'线下渠道'!D38+'淘系达播'!D38+'抖音达播'!D38</f>
      </c>
      <c r="E38" s="117">
        <f>'淘系'!E38+'抖音'!E38+PDD!E38+'得物'!E38+'京东自营财经口径'!E38+'京东POP财经口径'!E38+'视频号+官网+小程序'!E38+'快手'!E38+'唯品会'!E38+'线下门店-直营'!E38+'线下门店-经销'!E38+'线下渠道'!E38+'淘系达播'!E38+'抖音达播'!E38</f>
      </c>
      <c r="F38" s="117">
        <f>'淘系'!F38+'抖音'!F38+PDD!F38+'得物'!F38+'京东自营财经口径'!F38+'京东POP财经口径'!F38+'视频号+官网+小程序'!F38+'快手'!F38+'唯品会'!F38+'线下门店-直营'!F38+'线下门店-经销'!F38+'线下渠道'!F38+'淘系达播'!F38+'抖音达播'!F38</f>
      </c>
      <c r="G38" s="117">
        <f>'淘系'!G38+'抖音'!G38+PDD!G38+'得物'!G38+'京东自营财经口径'!G38+'京东POP财经口径'!G38+'视频号+官网+小程序'!G38+'快手'!G38+'唯品会'!G38+'线下门店-直营'!G38+'线下门店-经销'!G38+'线下渠道'!G38+'淘系达播'!G38+'抖音达播'!G38</f>
      </c>
      <c r="H38" s="117">
        <f>'淘系'!H38+'抖音'!H38+PDD!H38+'得物'!H38+'京东自营财经口径'!H38+'京东POP财经口径'!H38+'视频号+官网+小程序'!H38+'快手'!H38+'唯品会'!H38+'线下门店-直营'!H38+'线下门店-经销'!H38+'线下渠道'!H38+'淘系达播'!H38+'抖音达播'!H38</f>
      </c>
      <c r="I38" s="117">
        <f>'淘系'!I38+'抖音'!I38+PDD!I38+'得物'!I38+'京东自营财经口径'!I38+'京东POP财经口径'!I38+'视频号+官网+小程序'!I38+'快手'!I38+'唯品会'!I38+'线下门店-直营'!I38+'线下门店-经销'!I38+'线下渠道'!I38+'淘系达播'!I38+'抖音达播'!I38</f>
      </c>
      <c r="J38" s="117">
        <f>'淘系'!J38+'抖音'!J38+PDD!J38+'得物'!J38+'京东自营财经口径'!J38+'京东POP财经口径'!J38+'视频号+官网+小程序'!J38+'快手'!J38+'唯品会'!J38+'线下门店-直营'!J38+'线下门店-经销'!J38+'线下渠道'!J38+'淘系达播'!J38+'抖音达播'!J38</f>
      </c>
      <c r="K38" s="117">
        <f>'淘系'!K38+'抖音'!K38+PDD!K38+'得物'!K38+'京东自营财经口径'!K38+'京东POP财经口径'!K38+'视频号+官网+小程序'!K38+'快手'!K38+'唯品会'!K38+'线下门店-直营'!K38+'线下门店-经销'!K38+'线下渠道'!K38+'淘系达播'!K38+'抖音达播'!K38</f>
      </c>
      <c r="L38" s="117">
        <f>'淘系'!L38+'抖音'!L38+PDD!L38+'得物'!L38+'京东自营财经口径'!L38+'京东POP财经口径'!L38+'视频号+官网+小程序'!L38+'快手'!L38+'唯品会'!L38+'线下门店-直营'!L38+'线下门店-经销'!L38+'线下渠道'!L38+'淘系达播'!L38+'抖音达播'!L38</f>
      </c>
      <c r="M38" s="117">
        <f>'淘系'!M38+'抖音'!M38+PDD!M38+'得物'!M38+'京东自营财经口径'!M38+'京东POP财经口径'!M38+'视频号+官网+小程序'!M38+'快手'!M38+'唯品会'!M38+'线下门店-直营'!M38+'线下门店-经销'!M38+'线下渠道'!M38+'淘系达播'!M38+'抖音达播'!M38</f>
      </c>
      <c r="N38" s="117">
        <f>'淘系'!N38+'抖音'!N38+PDD!N38+'得物'!N38+'京东自营财经口径'!N38+'京东POP财经口径'!N38+'视频号+官网+小程序'!N38+'快手'!N38+'唯品会'!N38+'线下门店-直营'!N38+'线下门店-经销'!N38+'线下渠道'!N38+'淘系达播'!N38+'抖音达播'!N38</f>
      </c>
      <c r="O38" s="117">
        <f>SUM(C38:N38)</f>
      </c>
      <c r="P38" s="120">
        <f>O38/$O$16</f>
      </c>
      <c r="Q38" s="1" t="str">
        <v>投放填写</v>
      </c>
      <c r="R38">
        <f>O37-R37</f>
      </c>
      <c r="S38" s="15"/>
      <c r="T38" s="119">
        <f>O38-'淘系'!O38-'淘系达播'!O38-'抖音'!O38-'抖音达播'!O38-'快手'!O38-'京东POP财经口径'!O38-'京东自营财经口径'!O38-PDD!O38-'得物'!O38-'视频号+官网+小程序'!O38-'唯品会'!O38-'线下门店-直营'!O38-'线下门店-经销'!O38-'线下渠道'!O38</f>
      </c>
      <c r="U38" s="70"/>
      <c r="V38" s="70"/>
    </row>
    <row r="39">
      <c r="A39" s="118"/>
      <c r="B39" s="117" t="str">
        <v>千川投放</v>
      </c>
      <c r="C39" s="117">
        <f>'淘系'!C39+'抖音'!C39+PDD!C39+'得物'!C39+'京东自营财经口径'!C39+'京东POP财经口径'!C39+'视频号+官网+小程序'!C39+'快手'!C39+'唯品会'!C39+'线下门店-直营'!C39+'线下门店-经销'!C39+'线下渠道'!C39+'淘系达播'!C39+'抖音达播'!C39</f>
      </c>
      <c r="D39" s="117">
        <f>'淘系'!D39+'抖音'!D39+PDD!D39+'得物'!D39+'京东自营财经口径'!D39+'京东POP财经口径'!D39+'视频号+官网+小程序'!D39+'快手'!D39+'唯品会'!D39+'线下门店-直营'!D39+'线下门店-经销'!D39+'线下渠道'!D39+'淘系达播'!D39+'抖音达播'!D39</f>
      </c>
      <c r="E39" s="117">
        <f>'淘系'!E39+'抖音'!E39+PDD!E39+'得物'!E39+'京东自营财经口径'!E39+'京东POP财经口径'!E39+'视频号+官网+小程序'!E39+'快手'!E39+'唯品会'!E39+'线下门店-直营'!E39+'线下门店-经销'!E39+'线下渠道'!E39+'淘系达播'!E39+'抖音达播'!E39</f>
      </c>
      <c r="F39" s="117">
        <f>'淘系'!F39+'抖音'!F39+PDD!F39+'得物'!F39+'京东自营财经口径'!F39+'京东POP财经口径'!F39+'视频号+官网+小程序'!F39+'快手'!F39+'唯品会'!F39+'线下门店-直营'!F39+'线下门店-经销'!F39+'线下渠道'!F39+'淘系达播'!F39+'抖音达播'!F39</f>
      </c>
      <c r="G39" s="117">
        <f>'淘系'!G39+'抖音'!G39+PDD!G39+'得物'!G39+'京东自营财经口径'!G39+'京东POP财经口径'!G39+'视频号+官网+小程序'!G39+'快手'!G39+'唯品会'!G39+'线下门店-直营'!G39+'线下门店-经销'!G39+'线下渠道'!G39+'淘系达播'!G39+'抖音达播'!G39</f>
      </c>
      <c r="H39" s="117">
        <f>'淘系'!H39+'抖音'!H39+PDD!H39+'得物'!H39+'京东自营财经口径'!H39+'京东POP财经口径'!H39+'视频号+官网+小程序'!H39+'快手'!H39+'唯品会'!H39+'线下门店-直营'!H39+'线下门店-经销'!H39+'线下渠道'!H39+'淘系达播'!H39+'抖音达播'!H39</f>
      </c>
      <c r="I39" s="117">
        <f>'淘系'!I39+'抖音'!I39+PDD!I39+'得物'!I39+'京东自营财经口径'!I39+'京东POP财经口径'!I39+'视频号+官网+小程序'!I39+'快手'!I39+'唯品会'!I39+'线下门店-直营'!I39+'线下门店-经销'!I39+'线下渠道'!I39+'淘系达播'!I39+'抖音达播'!I39</f>
      </c>
      <c r="J39" s="117">
        <f>'淘系'!J39+'抖音'!J39+PDD!J39+'得物'!J39+'京东自营财经口径'!J39+'京东POP财经口径'!J39+'视频号+官网+小程序'!J39+'快手'!J39+'唯品会'!J39+'线下门店-直营'!J39+'线下门店-经销'!J39+'线下渠道'!J39+'淘系达播'!J39+'抖音达播'!J39</f>
      </c>
      <c r="K39" s="117">
        <f>'淘系'!K39+'抖音'!K39+PDD!K39+'得物'!K39+'京东自营财经口径'!K39+'京东POP财经口径'!K39+'视频号+官网+小程序'!K39+'快手'!K39+'唯品会'!K39+'线下门店-直营'!K39+'线下门店-经销'!K39+'线下渠道'!K39+'淘系达播'!K39+'抖音达播'!K39</f>
      </c>
      <c r="L39" s="117">
        <f>'淘系'!L39+'抖音'!L39+PDD!L39+'得物'!L39+'京东自营财经口径'!L39+'京东POP财经口径'!L39+'视频号+官网+小程序'!L39+'快手'!L39+'唯品会'!L39+'线下门店-直营'!L39+'线下门店-经销'!L39+'线下渠道'!L39+'淘系达播'!L39+'抖音达播'!L39</f>
      </c>
      <c r="M39" s="117">
        <f>'淘系'!M39+'抖音'!M39+PDD!M39+'得物'!M39+'京东自营财经口径'!M39+'京东POP财经口径'!M39+'视频号+官网+小程序'!M39+'快手'!M39+'唯品会'!M39+'线下门店-直营'!M39+'线下门店-经销'!M39+'线下渠道'!M39+'淘系达播'!M39+'抖音达播'!M39</f>
      </c>
      <c r="N39" s="117">
        <f>'淘系'!N39+'抖音'!N39+PDD!N39+'得物'!N39+'京东自营财经口径'!N39+'京东POP财经口径'!N39+'视频号+官网+小程序'!N39+'快手'!N39+'唯品会'!N39+'线下门店-直营'!N39+'线下门店-经销'!N39+'线下渠道'!N39+'淘系达播'!N39+'抖音达播'!N39</f>
      </c>
      <c r="O39" s="117">
        <f>SUM(C39:N39)</f>
      </c>
      <c r="P39" s="120">
        <f>O39/$O$16</f>
      </c>
      <c r="Q39" s="1" t="str">
        <v>投放填写</v>
      </c>
      <c r="R39">
        <f>'淘系'!O31+'抖音'!O31+'京东自营财经口径'!O31</f>
      </c>
      <c r="S39" s="15"/>
      <c r="T39" s="119">
        <f>O39-'淘系'!O39-'淘系达播'!O39-'抖音'!O39-'抖音达播'!O39-'快手'!O39-'京东POP财经口径'!O39-'京东自营财经口径'!O39-PDD!O39-'得物'!O39-'视频号+官网+小程序'!O39-'唯品会'!O39-'线下门店-直营'!O39-'线下门店-经销'!O39-'线下渠道'!O39</f>
      </c>
      <c r="U39" s="70"/>
      <c r="V39" s="70"/>
    </row>
    <row r="40">
      <c r="A40" s="118"/>
      <c r="B40" s="117" t="str">
        <v>站外投放</v>
      </c>
      <c r="C40" s="117">
        <f>'淘系'!C40+'抖音'!C40+PDD!C40+'得物'!C40+'京东自营财经口径'!C40+'京东POP财经口径'!C40+'视频号+官网+小程序'!C40+'快手'!C40+'唯品会'!C40+'线下门店-直营'!C40+'线下门店-经销'!C40+'线下渠道'!C40+'淘系达播'!C40+'抖音达播'!C40</f>
      </c>
      <c r="D40" s="117">
        <f>'淘系'!D40+'抖音'!D40+PDD!D40+'得物'!D40+'京东自营财经口径'!D40+'京东POP财经口径'!D40+'视频号+官网+小程序'!D40+'快手'!D40+'唯品会'!D40+'线下门店-直营'!D40+'线下门店-经销'!D40+'线下渠道'!D40+'淘系达播'!D40+'抖音达播'!D40</f>
      </c>
      <c r="E40" s="117">
        <f>'淘系'!E40+'抖音'!E40+PDD!E40+'得物'!E40+'京东自营财经口径'!E40+'京东POP财经口径'!E40+'视频号+官网+小程序'!E40+'快手'!E40+'唯品会'!E40+'线下门店-直营'!E40+'线下门店-经销'!E40+'线下渠道'!E40+'淘系达播'!E40+'抖音达播'!E40</f>
      </c>
      <c r="F40" s="117">
        <f>'淘系'!F40+'抖音'!F40+PDD!F40+'得物'!F40+'京东自营财经口径'!F40+'京东POP财经口径'!F40+'视频号+官网+小程序'!F40+'快手'!F40+'唯品会'!F40+'线下门店-直营'!F40+'线下门店-经销'!F40+'线下渠道'!F40+'淘系达播'!F40+'抖音达播'!F40</f>
      </c>
      <c r="G40" s="117">
        <f>'淘系'!G40+'抖音'!G40+PDD!G40+'得物'!G40+'京东自营财经口径'!G40+'京东POP财经口径'!G40+'视频号+官网+小程序'!G40+'快手'!G40+'唯品会'!G40+'线下门店-直营'!G40+'线下门店-经销'!G40+'线下渠道'!G40+'淘系达播'!G40+'抖音达播'!G40</f>
      </c>
      <c r="H40" s="117">
        <f>'淘系'!H40+'抖音'!H40+PDD!H40+'得物'!H40+'京东自营财经口径'!H40+'京东POP财经口径'!H40+'视频号+官网+小程序'!H40+'快手'!H40+'唯品会'!H40+'线下门店-直营'!H40+'线下门店-经销'!H40+'线下渠道'!H40+'淘系达播'!H40+'抖音达播'!H40</f>
      </c>
      <c r="I40" s="117">
        <f>'淘系'!I40+'抖音'!I40+PDD!I40+'得物'!I40+'京东自营财经口径'!I40+'京东POP财经口径'!I40+'视频号+官网+小程序'!I40+'快手'!I40+'唯品会'!I40+'线下门店-直营'!I40+'线下门店-经销'!I40+'线下渠道'!I40+'淘系达播'!I40+'抖音达播'!I40</f>
      </c>
      <c r="J40" s="117">
        <f>'淘系'!J40+'抖音'!J40+PDD!J40+'得物'!J40+'京东自营财经口径'!J40+'京东POP财经口径'!J40+'视频号+官网+小程序'!J40+'快手'!J40+'唯品会'!J40+'线下门店-直营'!J40+'线下门店-经销'!J40+'线下渠道'!J40+'淘系达播'!J40+'抖音达播'!J40</f>
      </c>
      <c r="K40" s="117">
        <f>'淘系'!K40+'抖音'!K40+PDD!K40+'得物'!K40+'京东自营财经口径'!K40+'京东POP财经口径'!K40+'视频号+官网+小程序'!K40+'快手'!K40+'唯品会'!K40+'线下门店-直营'!K40+'线下门店-经销'!K40+'线下渠道'!K40+'淘系达播'!K40+'抖音达播'!K40</f>
      </c>
      <c r="L40" s="117">
        <f>'淘系'!L40+'抖音'!L40+PDD!L40+'得物'!L40+'京东自营财经口径'!L40+'京东POP财经口径'!L40+'视频号+官网+小程序'!L40+'快手'!L40+'唯品会'!L40+'线下门店-直营'!L40+'线下门店-经销'!L40+'线下渠道'!L40+'淘系达播'!L40+'抖音达播'!L40</f>
      </c>
      <c r="M40" s="117">
        <f>'淘系'!M40+'抖音'!M40+PDD!M40+'得物'!M40+'京东自营财经口径'!M40+'京东POP财经口径'!M40+'视频号+官网+小程序'!M40+'快手'!M40+'唯品会'!M40+'线下门店-直营'!M40+'线下门店-经销'!M40+'线下渠道'!M40+'淘系达播'!M40+'抖音达播'!M40</f>
      </c>
      <c r="N40" s="117">
        <f>'淘系'!N40+'抖音'!N40+PDD!N40+'得物'!N40+'京东自营财经口径'!N40+'京东POP财经口径'!N40+'视频号+官网+小程序'!N40+'快手'!N40+'唯品会'!N40+'线下门店-直营'!N40+'线下门店-经销'!N40+'线下渠道'!N40+'淘系达播'!N40+'抖音达播'!N40</f>
      </c>
      <c r="O40" s="117">
        <f>SUM(C40:N40)</f>
      </c>
      <c r="P40" s="120">
        <f>O40/$O$16</f>
      </c>
      <c r="Q40" s="1" t="str">
        <v>投放填写</v>
      </c>
      <c r="R40">
        <f>'淘系'!O31</f>
      </c>
      <c r="S40">
        <f>R40/$R$39</f>
      </c>
      <c r="T40" s="119">
        <f>O40-'淘系'!O40-'淘系达播'!O40-'抖音'!O40-'抖音达播'!O40-'快手'!O40-'京东POP财经口径'!O40-'京东自营财经口径'!O40-PDD!O40-'得物'!O40-'视频号+官网+小程序'!O40-'唯品会'!O40-'线下门店-直营'!O40-'线下门店-经销'!O40-'线下渠道'!O40</f>
      </c>
      <c r="U40" s="70"/>
      <c r="V40" s="70"/>
    </row>
    <row outlineLevel="1" r="41">
      <c r="A41" s="118"/>
      <c r="B41" s="117" t="str">
        <v>站内投放（费率）</v>
      </c>
      <c r="C41" s="120">
        <f>C38/C$16</f>
      </c>
      <c r="D41" s="120">
        <f>D38/D$16</f>
      </c>
      <c r="E41" s="120">
        <f>E38/E$16</f>
      </c>
      <c r="F41" s="120">
        <f>F38/F$16</f>
      </c>
      <c r="G41" s="120">
        <f>G38/G$16</f>
      </c>
      <c r="H41" s="120">
        <f>H38/H$16</f>
      </c>
      <c r="I41" s="120">
        <f>I38/I$16</f>
      </c>
      <c r="J41" s="120">
        <f>J38/J$16</f>
      </c>
      <c r="K41" s="120">
        <f>K38/K$16</f>
      </c>
      <c r="L41" s="120">
        <f>L38/L$16</f>
      </c>
      <c r="M41" s="120">
        <f>M38/M$16</f>
      </c>
      <c r="N41" s="120">
        <f>N38/N$16</f>
      </c>
      <c r="O41" s="120">
        <f>O38/$O$16</f>
      </c>
      <c r="P41" s="120"/>
      <c r="Q41" s="1" t="str">
        <v>投放填写</v>
      </c>
      <c r="S41">
        <f>R41/$R$39</f>
      </c>
      <c r="T41" s="119">
        <f>O41-'淘系'!O41-'淘系达播'!O41-'抖音'!O41-'抖音达播'!O41-'快手'!O41-'京东POP财经口径'!O41-'京东自营财经口径'!O41-PDD!O41-'得物'!O41-'视频号+官网+小程序'!O41-'唯品会'!O41-'线下门店-直营'!O41-'线下门店-经销'!O41-'线下渠道'!O41</f>
      </c>
    </row>
    <row outlineLevel="1" r="42">
      <c r="A42" s="118"/>
      <c r="B42" s="117" t="str">
        <v>千川投放（费率）</v>
      </c>
      <c r="C42" s="120">
        <f>C39/C$16</f>
      </c>
      <c r="D42" s="120">
        <f>D39/D$16</f>
      </c>
      <c r="E42" s="120">
        <f>E39/E$16</f>
      </c>
      <c r="F42" s="120">
        <f>F39/F$16</f>
      </c>
      <c r="G42" s="120">
        <f>G39/G$16</f>
      </c>
      <c r="H42" s="120">
        <f>H39/H$16</f>
      </c>
      <c r="I42" s="120">
        <f>I39/I$16</f>
      </c>
      <c r="J42" s="120">
        <f>J39/J$16</f>
      </c>
      <c r="K42" s="120">
        <f>K39/K$16</f>
      </c>
      <c r="L42" s="120">
        <f>L39/L$16</f>
      </c>
      <c r="M42" s="120">
        <f>M39/M$16</f>
      </c>
      <c r="N42" s="120">
        <f>N39/N$16</f>
      </c>
      <c r="O42" s="120">
        <f>O39/$O$16</f>
      </c>
      <c r="P42" s="120"/>
      <c r="Q42" s="1" t="str">
        <v>投放填写</v>
      </c>
      <c r="S42">
        <f>R42/$R$39</f>
      </c>
      <c r="T42" s="119">
        <f>O42-'淘系'!O42-'淘系达播'!O42-'抖音'!O42-'抖音达播'!O42-'快手'!O42-'京东POP财经口径'!O42-'京东自营财经口径'!O42-PDD!O42-'得物'!O42-'视频号+官网+小程序'!O42-'唯品会'!O42-'线下门店-直营'!O42-'线下门店-经销'!O42-'线下渠道'!O42</f>
      </c>
    </row>
    <row outlineLevel="1" r="43">
      <c r="A43" s="118"/>
      <c r="B43" s="117" t="str">
        <v>站外投放（费率）</v>
      </c>
      <c r="C43" s="120">
        <f>C40/C$16</f>
      </c>
      <c r="D43" s="120">
        <f>D40/D$16</f>
      </c>
      <c r="E43" s="120">
        <f>E40/E$16</f>
      </c>
      <c r="F43" s="120">
        <f>F40/F$16</f>
      </c>
      <c r="G43" s="120">
        <f>G40/G$16</f>
      </c>
      <c r="H43" s="120">
        <f>H40/H$16</f>
      </c>
      <c r="I43" s="120">
        <f>I40/I$16</f>
      </c>
      <c r="J43" s="120">
        <f>J40/J$16</f>
      </c>
      <c r="K43" s="120">
        <f>K40/K$16</f>
      </c>
      <c r="L43" s="120">
        <f>L40/L$16</f>
      </c>
      <c r="M43" s="120">
        <f>M40/M$16</f>
      </c>
      <c r="N43" s="120">
        <f>N40/N$16</f>
      </c>
      <c r="O43" s="120">
        <f>O40/$O$16</f>
      </c>
      <c r="P43" s="120"/>
      <c r="Q43" s="1" t="str">
        <v>投放填写</v>
      </c>
      <c r="S43">
        <f>R43/$R$39</f>
      </c>
      <c r="T43" s="119">
        <f>O43-'淘系'!O43-'淘系达播'!O43-'抖音'!O43-'抖音达播'!O43-'快手'!O43-'京东POP财经口径'!O43-'京东自营财经口径'!O43-PDD!O43-'得物'!O43-'视频号+官网+小程序'!O43-'唯品会'!O43-'线下门店-直营'!O43-'线下门店-经销'!O43-'线下渠道'!O43</f>
      </c>
    </row>
    <row r="44">
      <c r="A44" s="1"/>
      <c r="B44" s="129" t="str">
        <v>线上营销费用</v>
      </c>
      <c r="C44" s="129">
        <f>SUM(C45:C46)</f>
      </c>
      <c r="D44" s="129">
        <f>SUM(D45:D46)</f>
      </c>
      <c r="E44" s="129">
        <f>SUM(E45:E46)</f>
      </c>
      <c r="F44" s="129">
        <f>SUM(F45:F46)</f>
      </c>
      <c r="G44" s="129">
        <f>SUM(G45:G46)</f>
      </c>
      <c r="H44" s="129">
        <f>SUM(H45:H46)</f>
      </c>
      <c r="I44" s="129">
        <f>SUM(I45:I46)</f>
      </c>
      <c r="J44" s="129">
        <f>SUM(J45:J46)</f>
      </c>
      <c r="K44" s="129">
        <f>SUM(K45:K46)</f>
      </c>
      <c r="L44" s="129">
        <f>SUM(L45:L46)</f>
      </c>
      <c r="M44" s="129">
        <f>SUM(M45:M46)</f>
      </c>
      <c r="N44" s="129">
        <f>SUM(N45:N46)</f>
      </c>
      <c r="O44" s="129">
        <f>SUM(C44:N44)</f>
      </c>
      <c r="P44" s="128">
        <f>O44/$O$16</f>
      </c>
      <c r="Q44" s="1"/>
      <c r="R44">
        <f>'抖音'!O31</f>
      </c>
      <c r="S44">
        <f>R44/$R$39</f>
      </c>
      <c r="T44" s="119">
        <f>O44-'淘系'!O44-'淘系达播'!O44-'抖音'!O44-'抖音达播'!O44-'快手'!O44-'京东POP财经口径'!O44-'京东自营财经口径'!O44-PDD!O44-'得物'!O44-'视频号+官网+小程序'!O44-'唯品会'!O44-'线下门店-直营'!O44-'线下门店-经销'!O44-'线下渠道'!O44</f>
      </c>
    </row>
    <row r="45">
      <c r="A45" s="118"/>
      <c r="B45" s="117" t="str">
        <v>直播费用</v>
      </c>
      <c r="C45" s="117">
        <f>'淘系'!C45+'抖音'!C45+PDD!C45+'得物'!C45+'京东自营财经口径'!C45+'京东POP财经口径'!C45+'视频号+官网+小程序'!C45+'快手'!C45+'唯品会'!C45+'线下门店-直营'!C45+'线下门店-经销'!C45+'线下渠道'!C45+'淘系达播'!C45+'抖音达播'!C45</f>
      </c>
      <c r="D45" s="117">
        <f>'淘系'!D45+'抖音'!D45+PDD!D45+'得物'!D45+'京东自营财经口径'!D45+'京东POP财经口径'!D45+'视频号+官网+小程序'!D45+'快手'!D45+'唯品会'!D45+'线下门店-直营'!D45+'线下门店-经销'!D45+'线下渠道'!D45+'淘系达播'!D45+'抖音达播'!D45</f>
      </c>
      <c r="E45" s="117">
        <f>'淘系'!E45+'抖音'!E45+PDD!E45+'得物'!E45+'京东自营财经口径'!E45+'京东POP财经口径'!E45+'视频号+官网+小程序'!E45+'快手'!E45+'唯品会'!E45+'线下门店-直营'!E45+'线下门店-经销'!E45+'线下渠道'!E45+'淘系达播'!E45+'抖音达播'!E45</f>
      </c>
      <c r="F45" s="117">
        <f>'淘系'!F45+'抖音'!F45+PDD!F45+'得物'!F45+'京东自营财经口径'!F45+'京东POP财经口径'!F45+'视频号+官网+小程序'!F45+'快手'!F45+'唯品会'!F45+'线下门店-直营'!F45+'线下门店-经销'!F45+'线下渠道'!F45+'淘系达播'!F45+'抖音达播'!F45</f>
      </c>
      <c r="G45" s="117">
        <f>'淘系'!G45+'抖音'!G45+PDD!G45+'得物'!G45+'京东自营财经口径'!G45+'京东POP财经口径'!G45+'视频号+官网+小程序'!G45+'快手'!G45+'唯品会'!G45+'线下门店-直营'!G45+'线下门店-经销'!G45+'线下渠道'!G45+'淘系达播'!G45+'抖音达播'!G45</f>
      </c>
      <c r="H45" s="117">
        <f>'淘系'!H45+'抖音'!H45+PDD!H45+'得物'!H45+'京东自营财经口径'!H45+'京东POP财经口径'!H45+'视频号+官网+小程序'!H45+'快手'!H45+'唯品会'!H45+'线下门店-直营'!H45+'线下门店-经销'!H45+'线下渠道'!H45+'淘系达播'!H45+'抖音达播'!H45</f>
      </c>
      <c r="I45" s="117">
        <f>'淘系'!I45+'抖音'!I45+PDD!I45+'得物'!I45+'京东自营财经口径'!I45+'京东POP财经口径'!I45+'视频号+官网+小程序'!I45+'快手'!I45+'唯品会'!I45+'线下门店-直营'!I45+'线下门店-经销'!I45+'线下渠道'!I45+'淘系达播'!I45+'抖音达播'!I45</f>
      </c>
      <c r="J45" s="117">
        <f>'淘系'!J45+'抖音'!J45+PDD!J45+'得物'!J45+'京东自营财经口径'!J45+'京东POP财经口径'!J45+'视频号+官网+小程序'!J45+'快手'!J45+'唯品会'!J45+'线下门店-直营'!J45+'线下门店-经销'!J45+'线下渠道'!J45+'淘系达播'!J45+'抖音达播'!J45</f>
      </c>
      <c r="K45" s="117">
        <f>'淘系'!K45+'抖音'!K45+PDD!K45+'得物'!K45+'京东自营财经口径'!K45+'京东POP财经口径'!K45+'视频号+官网+小程序'!K45+'快手'!K45+'唯品会'!K45+'线下门店-直营'!K45+'线下门店-经销'!K45+'线下渠道'!K45+'淘系达播'!K45+'抖音达播'!K45</f>
      </c>
      <c r="L45" s="117">
        <f>'淘系'!L45+'抖音'!L45+PDD!L45+'得物'!L45+'京东自营财经口径'!L45+'京东POP财经口径'!L45+'视频号+官网+小程序'!L45+'快手'!L45+'唯品会'!L45+'线下门店-直营'!L45+'线下门店-经销'!L45+'线下渠道'!L45+'淘系达播'!L45+'抖音达播'!L45</f>
      </c>
      <c r="M45" s="117">
        <f>'淘系'!M45+'抖音'!M45+PDD!M45+'得物'!M45+'京东自营财经口径'!M45+'京东POP财经口径'!M45+'视频号+官网+小程序'!M45+'快手'!M45+'唯品会'!M45+'线下门店-直营'!M45+'线下门店-经销'!M45+'线下渠道'!M45+'淘系达播'!M45+'抖音达播'!M45</f>
      </c>
      <c r="N45" s="117">
        <f>'淘系'!N45+'抖音'!N45+PDD!N45+'得物'!N45+'京东自营财经口径'!N45+'京东POP财经口径'!N45+'视频号+官网+小程序'!N45+'快手'!N45+'唯品会'!N45+'线下门店-直营'!N45+'线下门店-经销'!N45+'线下渠道'!N45+'淘系达播'!N45+'抖音达播'!N45</f>
      </c>
      <c r="O45" s="117">
        <f>SUM(C45:N45)</f>
      </c>
      <c r="P45" s="120">
        <f>O45/$O$16</f>
      </c>
      <c r="Q45" s="1" t="str">
        <v>达人填写</v>
      </c>
      <c r="R45">
        <f>'京东自营财经口径'!O31</f>
      </c>
      <c r="S45">
        <f>R45/$R$39</f>
      </c>
      <c r="T45" s="119">
        <f>O45-'淘系'!O45-'淘系达播'!O45-'抖音'!O45-'抖音达播'!O45-'快手'!O45-'京东POP财经口径'!O45-'京东自营财经口径'!O45-PDD!O45-'得物'!O45-'视频号+官网+小程序'!O45-'唯品会'!O45-'线下门店-直营'!O45-'线下门店-经销'!O45-'线下渠道'!O45</f>
      </c>
    </row>
    <row r="46">
      <c r="A46" s="118"/>
      <c r="B46" s="117" t="str">
        <v>赠品费用</v>
      </c>
      <c r="C46" s="117">
        <f>'淘系'!C46+'抖音'!C46+PDD!C46+'得物'!C46+'京东自营财经口径'!C46+'京东POP财经口径'!C46+'视频号+官网+小程序'!C46+'快手'!C46+'唯品会'!C46+'线下门店-直营'!C46+'线下门店-经销'!C46+'线下渠道'!C46+'淘系达播'!C46+'抖音达播'!C46</f>
      </c>
      <c r="D46" s="117">
        <f>'淘系'!D46+'抖音'!D46+PDD!D46+'得物'!D46+'京东自营财经口径'!D46+'京东POP财经口径'!D46+'视频号+官网+小程序'!D46+'快手'!D46+'唯品会'!D46+'线下门店-直营'!D46+'线下门店-经销'!D46+'线下渠道'!D46+'淘系达播'!D46+'抖音达播'!D46</f>
      </c>
      <c r="E46" s="117">
        <f>'淘系'!E46+'抖音'!E46+PDD!E46+'得物'!E46+'京东自营财经口径'!E46+'京东POP财经口径'!E46+'视频号+官网+小程序'!E46+'快手'!E46+'唯品会'!E46+'线下门店-直营'!E46+'线下门店-经销'!E46+'线下渠道'!E46+'淘系达播'!E46+'抖音达播'!E46</f>
      </c>
      <c r="F46" s="117">
        <f>'淘系'!F46+'抖音'!F46+PDD!F46+'得物'!F46+'京东自营财经口径'!F46+'京东POP财经口径'!F46+'视频号+官网+小程序'!F46+'快手'!F46+'唯品会'!F46+'线下门店-直营'!F46+'线下门店-经销'!F46+'线下渠道'!F46+'淘系达播'!F46+'抖音达播'!F46</f>
      </c>
      <c r="G46" s="117">
        <f>'淘系'!G46+'抖音'!G46+PDD!G46+'得物'!G46+'京东自营财经口径'!G46+'京东POP财经口径'!G46+'视频号+官网+小程序'!G46+'快手'!G46+'唯品会'!G46+'线下门店-直营'!G46+'线下门店-经销'!G46+'线下渠道'!G46+'淘系达播'!G46+'抖音达播'!G46</f>
      </c>
      <c r="H46" s="117">
        <f>'淘系'!H46+'抖音'!H46+PDD!H46+'得物'!H46+'京东自营财经口径'!H46+'京东POP财经口径'!H46+'视频号+官网+小程序'!H46+'快手'!H46+'唯品会'!H46+'线下门店-直营'!H46+'线下门店-经销'!H46+'线下渠道'!H46+'淘系达播'!H46+'抖音达播'!H46</f>
      </c>
      <c r="I46" s="117">
        <f>'淘系'!I46+'抖音'!I46+PDD!I46+'得物'!I46+'京东自营财经口径'!I46+'京东POP财经口径'!I46+'视频号+官网+小程序'!I46+'快手'!I46+'唯品会'!I46+'线下门店-直营'!I46+'线下门店-经销'!I46+'线下渠道'!I46+'淘系达播'!I46+'抖音达播'!I46</f>
      </c>
      <c r="J46" s="117">
        <f>'淘系'!J46+'抖音'!J46+PDD!J46+'得物'!J46+'京东自营财经口径'!J46+'京东POP财经口径'!J46+'视频号+官网+小程序'!J46+'快手'!J46+'唯品会'!J46+'线下门店-直营'!J46+'线下门店-经销'!J46+'线下渠道'!J46+'淘系达播'!J46+'抖音达播'!J46</f>
      </c>
      <c r="K46" s="117">
        <f>'淘系'!K46+'抖音'!K46+PDD!K46+'得物'!K46+'京东自营财经口径'!K46+'京东POP财经口径'!K46+'视频号+官网+小程序'!K46+'快手'!K46+'唯品会'!K46+'线下门店-直营'!K46+'线下门店-经销'!K46+'线下渠道'!K46+'淘系达播'!K46+'抖音达播'!K46</f>
      </c>
      <c r="L46" s="117">
        <f>'淘系'!L46+'抖音'!L46+PDD!L46+'得物'!L46+'京东自营财经口径'!L46+'京东POP财经口径'!L46+'视频号+官网+小程序'!L46+'快手'!L46+'唯品会'!L46+'线下门店-直营'!L46+'线下门店-经销'!L46+'线下渠道'!L46+'淘系达播'!L46+'抖音达播'!L46</f>
      </c>
      <c r="M46" s="117">
        <f>'淘系'!M46+'抖音'!M46+PDD!M46+'得物'!M46+'京东自营财经口径'!M46+'京东POP财经口径'!M46+'视频号+官网+小程序'!M46+'快手'!M46+'唯品会'!M46+'线下门店-直营'!M46+'线下门店-经销'!M46+'线下渠道'!M46+'淘系达播'!M46+'抖音达播'!M46</f>
      </c>
      <c r="N46" s="117">
        <f>'淘系'!N46+'抖音'!N46+PDD!N46+'得物'!N46+'京东自营财经口径'!N46+'京东POP财经口径'!N46+'视频号+官网+小程序'!N46+'快手'!N46+'唯品会'!N46+'线下门店-直营'!N46+'线下门店-经销'!N46+'线下渠道'!N46+'淘系达播'!N46+'抖音达播'!N46</f>
      </c>
      <c r="O46" s="117">
        <f>SUM(C46:N46)</f>
      </c>
      <c r="P46" s="120">
        <f>O46/$O$16</f>
      </c>
      <c r="Q46" s="90" t="str">
        <v>渠道填写</v>
      </c>
      <c r="T46" s="119">
        <f>O46-'淘系'!O46-'淘系达播'!O46-'抖音'!O46-'抖音达播'!O46-'快手'!O46-'京东POP财经口径'!O46-'京东自营财经口径'!O46-PDD!O46-'得物'!O46-'视频号+官网+小程序'!O46-'唯品会'!O46-'线下门店-直营'!O46-'线下门店-经销'!O46-'线下渠道'!O46</f>
      </c>
    </row>
    <row customHeight="true" ht="20" r="47">
      <c r="A47" s="118"/>
      <c r="B47" s="117" t="str">
        <v>直播费用（费率）</v>
      </c>
      <c r="C47" s="120">
        <f>C45/C$16</f>
      </c>
      <c r="D47" s="120">
        <f>D45/D$16</f>
      </c>
      <c r="E47" s="120">
        <f>E45/E$16</f>
      </c>
      <c r="F47" s="120">
        <f>F45/F$16</f>
      </c>
      <c r="G47" s="120">
        <f>G45/G$16</f>
      </c>
      <c r="H47" s="120">
        <f>H45/H$16</f>
      </c>
      <c r="I47" s="120">
        <f>I45/I$16</f>
      </c>
      <c r="J47" s="120">
        <f>J45/J$16</f>
      </c>
      <c r="K47" s="120">
        <f>K45/K$16</f>
      </c>
      <c r="L47" s="120">
        <f>L45/L$16</f>
      </c>
      <c r="M47" s="120">
        <f>M45/M$16</f>
      </c>
      <c r="N47" s="120">
        <f>N45/N$16</f>
      </c>
      <c r="O47" s="120">
        <f>O45/O$16</f>
      </c>
      <c r="P47" s="120"/>
      <c r="Q47" s="90"/>
      <c r="T47" s="119"/>
    </row>
    <row customHeight="true" ht="20" r="48">
      <c r="A48" s="118"/>
      <c r="B48" s="117" t="str">
        <v>赠品费用（费率）</v>
      </c>
      <c r="C48" s="120">
        <f>C46/C$16</f>
      </c>
      <c r="D48" s="120">
        <f>D46/D$16</f>
      </c>
      <c r="E48" s="120">
        <f>E46/E$16</f>
      </c>
      <c r="F48" s="120">
        <f>F46/F$16</f>
      </c>
      <c r="G48" s="120">
        <f>G46/G$16</f>
      </c>
      <c r="H48" s="120">
        <f>H46/H$16</f>
      </c>
      <c r="I48" s="120">
        <f>I46/I$16</f>
      </c>
      <c r="J48" s="120">
        <f>J46/J$16</f>
      </c>
      <c r="K48" s="120">
        <f>K46/K$16</f>
      </c>
      <c r="L48" s="120">
        <f>L46/L$16</f>
      </c>
      <c r="M48" s="120">
        <f>M46/M$16</f>
      </c>
      <c r="N48" s="120">
        <f>N46/N$16</f>
      </c>
      <c r="O48" s="120">
        <f>O46/O$16</f>
      </c>
      <c r="P48" s="120"/>
      <c r="Q48" s="90"/>
      <c r="T48" s="119"/>
    </row>
    <row r="49">
      <c r="A49" s="1"/>
      <c r="B49" s="129" t="str">
        <v>线下市场费用</v>
      </c>
      <c r="C49" s="129">
        <f>SUM(C50:C53)</f>
      </c>
      <c r="D49" s="129">
        <f>SUM(D50:D53)</f>
      </c>
      <c r="E49" s="129">
        <f>SUM(E50:E53)</f>
      </c>
      <c r="F49" s="129">
        <f>SUM(F50:F53)</f>
      </c>
      <c r="G49" s="129">
        <f>SUM(G50:G53)</f>
      </c>
      <c r="H49" s="129">
        <f>SUM(H50:H53)</f>
      </c>
      <c r="I49" s="129">
        <f>SUM(I50:I53)</f>
      </c>
      <c r="J49" s="129">
        <f>SUM(J50:J53)</f>
      </c>
      <c r="K49" s="129">
        <f>SUM(K50:K53)</f>
      </c>
      <c r="L49" s="129">
        <f>SUM(L50:L53)</f>
      </c>
      <c r="M49" s="129">
        <f>SUM(M50:M53)</f>
      </c>
      <c r="N49" s="129">
        <f>SUM(N50:N53)</f>
      </c>
      <c r="O49" s="129">
        <f>SUM(C49:N49)</f>
      </c>
      <c r="P49" s="128">
        <f>O49/$O$16</f>
      </c>
      <c r="Q49" s="1"/>
      <c r="R49">
        <f>$R$38*S40+R40</f>
      </c>
      <c r="T49" s="119">
        <f>O49-'淘系'!O47-'淘系达播'!O47-'抖音'!O47-'抖音达播'!O47-'快手'!O47-'京东POP财经口径'!O47-'京东自营财经口径'!O47-PDD!O47-'得物'!O47-'视频号+官网+小程序'!O47-'唯品会'!O47-'线下门店-直营'!O47-'线下门店-经销'!O47-'线下渠道'!O47</f>
      </c>
    </row>
    <row r="50">
      <c r="A50" s="118"/>
      <c r="B50" s="117" t="str">
        <v>线下渠道展陈、促销费用</v>
      </c>
      <c r="C50" s="117">
        <f>'淘系'!C48+'抖音'!C48+PDD!C48+'得物'!C48+'京东自营财经口径'!C48+'京东POP财经口径'!C48+'视频号+官网+小程序'!C48+'快手'!C48+'唯品会'!C48+'线下门店-直营'!C48+'线下门店-经销'!C48+'线下渠道'!C48+'淘系达播'!C48+'抖音达播'!C48</f>
      </c>
      <c r="D50" s="117">
        <f>'淘系'!D48+'抖音'!D48+PDD!D48+'得物'!D48+'京东自营财经口径'!D48+'京东POP财经口径'!D48+'视频号+官网+小程序'!D48+'快手'!D48+'唯品会'!D48+'线下门店-直营'!D48+'线下门店-经销'!D48+'线下渠道'!D48+'淘系达播'!D48+'抖音达播'!D48</f>
      </c>
      <c r="E50" s="117">
        <f>'淘系'!E48+'抖音'!E48+PDD!E48+'得物'!E48+'京东自营财经口径'!E48+'京东POP财经口径'!E48+'视频号+官网+小程序'!E48+'快手'!E48+'唯品会'!E48+'线下门店-直营'!E48+'线下门店-经销'!E48+'线下渠道'!E48+'淘系达播'!E48+'抖音达播'!E48</f>
      </c>
      <c r="F50" s="117">
        <f>'淘系'!F48+'抖音'!F48+PDD!F48+'得物'!F48+'京东自营财经口径'!F48+'京东POP财经口径'!F48+'视频号+官网+小程序'!F48+'快手'!F48+'唯品会'!F48+'线下门店-直营'!F48+'线下门店-经销'!F48+'线下渠道'!F48+'淘系达播'!F48+'抖音达播'!F48</f>
      </c>
      <c r="G50" s="117">
        <f>'淘系'!G48+'抖音'!G48+PDD!G48+'得物'!G48+'京东自营财经口径'!G48+'京东POP财经口径'!G48+'视频号+官网+小程序'!G48+'快手'!G48+'唯品会'!G48+'线下门店-直营'!G48+'线下门店-经销'!G48+'线下渠道'!G48+'淘系达播'!G48+'抖音达播'!G48</f>
      </c>
      <c r="H50" s="117">
        <f>'淘系'!H48+'抖音'!H48+PDD!H48+'得物'!H48+'京东自营财经口径'!H48+'京东POP财经口径'!H48+'视频号+官网+小程序'!H48+'快手'!H48+'唯品会'!H48+'线下门店-直营'!H48+'线下门店-经销'!H48+'线下渠道'!H48+'淘系达播'!H48+'抖音达播'!H48</f>
      </c>
      <c r="I50" s="117">
        <f>'淘系'!I48+'抖音'!I48+PDD!I48+'得物'!I48+'京东自营财经口径'!I48+'京东POP财经口径'!I48+'视频号+官网+小程序'!I48+'快手'!I48+'唯品会'!I48+'线下门店-直营'!I48+'线下门店-经销'!I48+'线下渠道'!I48+'淘系达播'!I48+'抖音达播'!I48</f>
      </c>
      <c r="J50" s="117">
        <f>'淘系'!J48+'抖音'!J48+PDD!J48+'得物'!J48+'京东自营财经口径'!J48+'京东POP财经口径'!J48+'视频号+官网+小程序'!J48+'快手'!J48+'唯品会'!J48+'线下门店-直营'!J48+'线下门店-经销'!J48+'线下渠道'!J48+'淘系达播'!J48+'抖音达播'!J48</f>
      </c>
      <c r="K50" s="117">
        <f>'淘系'!K48+'抖音'!K48+PDD!K48+'得物'!K48+'京东自营财经口径'!K48+'京东POP财经口径'!K48+'视频号+官网+小程序'!K48+'快手'!K48+'唯品会'!K48+'线下门店-直营'!K48+'线下门店-经销'!K48+'线下渠道'!K48+'淘系达播'!K48+'抖音达播'!K48</f>
      </c>
      <c r="L50" s="117">
        <f>'淘系'!L48+'抖音'!L48+PDD!L48+'得物'!L48+'京东自营财经口径'!L48+'京东POP财经口径'!L48+'视频号+官网+小程序'!L48+'快手'!L48+'唯品会'!L48+'线下门店-直营'!L48+'线下门店-经销'!L48+'线下渠道'!L48+'淘系达播'!L48+'抖音达播'!L48</f>
      </c>
      <c r="M50" s="117">
        <f>'淘系'!M48+'抖音'!M48+PDD!M48+'得物'!M48+'京东自营财经口径'!M48+'京东POP财经口径'!M48+'视频号+官网+小程序'!M48+'快手'!M48+'唯品会'!M48+'线下门店-直营'!M48+'线下门店-经销'!M48+'线下渠道'!M48+'淘系达播'!M48+'抖音达播'!M48</f>
      </c>
      <c r="N50" s="117">
        <f>'淘系'!N48+'抖音'!N48+PDD!N48+'得物'!N48+'京东自营财经口径'!N48+'京东POP财经口径'!N48+'视频号+官网+小程序'!N48+'快手'!N48+'唯品会'!N48+'线下门店-直营'!N48+'线下门店-经销'!N48+'线下渠道'!N48+'淘系达播'!N48+'抖音达播'!N48</f>
      </c>
      <c r="O50" s="117">
        <f>SUM(C50:N50)</f>
      </c>
      <c r="P50" s="120">
        <f>O50/$O$16</f>
      </c>
      <c r="Q50" s="90" t="str">
        <v>线下门店</v>
      </c>
      <c r="R50">
        <f>R38*S44+R44</f>
      </c>
      <c r="T50" s="119">
        <f>O50-'淘系'!O48-'淘系达播'!O48-'抖音'!O48-'抖音达播'!O48-'快手'!O48-'京东POP财经口径'!O48-'京东自营财经口径'!O48-PDD!O48-'得物'!O48-'视频号+官网+小程序'!O48-'唯品会'!O48-'线下门店-直营'!O48-'线下门店-经销'!O48-'线下渠道'!O48</f>
      </c>
    </row>
    <row r="51">
      <c r="A51" s="118"/>
      <c r="B51" s="117" t="str">
        <v>租金+物业+水电</v>
      </c>
      <c r="C51" s="117">
        <f>'淘系'!C49+'抖音'!C49+PDD!C49+'得物'!C49+'京东自营财经口径'!C49+'京东POP财经口径'!C49+'视频号+官网+小程序'!C49+'快手'!C49+'唯品会'!C49+'线下门店-直营'!C49+'线下门店-经销'!C49+'线下渠道'!C49+'淘系达播'!C49+'抖音达播'!C49</f>
      </c>
      <c r="D51" s="117">
        <f>'淘系'!D49+'抖音'!D49+PDD!D49+'得物'!D49+'京东自营财经口径'!D49+'京东POP财经口径'!D49+'视频号+官网+小程序'!D49+'快手'!D49+'唯品会'!D49+'线下门店-直营'!D49+'线下门店-经销'!D49+'线下渠道'!D49+'淘系达播'!D49+'抖音达播'!D49</f>
      </c>
      <c r="E51" s="117">
        <f>'淘系'!E49+'抖音'!E49+PDD!E49+'得物'!E49+'京东自营财经口径'!E49+'京东POP财经口径'!E49+'视频号+官网+小程序'!E49+'快手'!E49+'唯品会'!E49+'线下门店-直营'!E49+'线下门店-经销'!E49+'线下渠道'!E49+'淘系达播'!E49+'抖音达播'!E49</f>
      </c>
      <c r="F51" s="117">
        <f>'淘系'!F49+'抖音'!F49+PDD!F49+'得物'!F49+'京东自营财经口径'!F49+'京东POP财经口径'!F49+'视频号+官网+小程序'!F49+'快手'!F49+'唯品会'!F49+'线下门店-直营'!F49+'线下门店-经销'!F49+'线下渠道'!F49+'淘系达播'!F49+'抖音达播'!F49</f>
      </c>
      <c r="G51" s="117">
        <f>'淘系'!G49+'抖音'!G49+PDD!G49+'得物'!G49+'京东自营财经口径'!G49+'京东POP财经口径'!G49+'视频号+官网+小程序'!G49+'快手'!G49+'唯品会'!G49+'线下门店-直营'!G49+'线下门店-经销'!G49+'线下渠道'!G49+'淘系达播'!G49+'抖音达播'!G49</f>
      </c>
      <c r="H51" s="117">
        <f>'淘系'!H49+'抖音'!H49+PDD!H49+'得物'!H49+'京东自营财经口径'!H49+'京东POP财经口径'!H49+'视频号+官网+小程序'!H49+'快手'!H49+'唯品会'!H49+'线下门店-直营'!H49+'线下门店-经销'!H49+'线下渠道'!H49+'淘系达播'!H49+'抖音达播'!H49</f>
      </c>
      <c r="I51" s="117">
        <f>'淘系'!I49+'抖音'!I49+PDD!I49+'得物'!I49+'京东自营财经口径'!I49+'京东POP财经口径'!I49+'视频号+官网+小程序'!I49+'快手'!I49+'唯品会'!I49+'线下门店-直营'!I49+'线下门店-经销'!I49+'线下渠道'!I49+'淘系达播'!I49+'抖音达播'!I49</f>
      </c>
      <c r="J51" s="117">
        <f>'淘系'!J49+'抖音'!J49+PDD!J49+'得物'!J49+'京东自营财经口径'!J49+'京东POP财经口径'!J49+'视频号+官网+小程序'!J49+'快手'!J49+'唯品会'!J49+'线下门店-直营'!J49+'线下门店-经销'!J49+'线下渠道'!J49+'淘系达播'!J49+'抖音达播'!J49</f>
      </c>
      <c r="K51" s="117">
        <f>'淘系'!K49+'抖音'!K49+PDD!K49+'得物'!K49+'京东自营财经口径'!K49+'京东POP财经口径'!K49+'视频号+官网+小程序'!K49+'快手'!K49+'唯品会'!K49+'线下门店-直营'!K49+'线下门店-经销'!K49+'线下渠道'!K49+'淘系达播'!K49+'抖音达播'!K49</f>
      </c>
      <c r="L51" s="117">
        <f>'淘系'!L49+'抖音'!L49+PDD!L49+'得物'!L49+'京东自营财经口径'!L49+'京东POP财经口径'!L49+'视频号+官网+小程序'!L49+'快手'!L49+'唯品会'!L49+'线下门店-直营'!L49+'线下门店-经销'!L49+'线下渠道'!L49+'淘系达播'!L49+'抖音达播'!L49</f>
      </c>
      <c r="M51" s="117">
        <f>'淘系'!M49+'抖音'!M49+PDD!M49+'得物'!M49+'京东自营财经口径'!M49+'京东POP财经口径'!M49+'视频号+官网+小程序'!M49+'快手'!M49+'唯品会'!M49+'线下门店-直营'!M49+'线下门店-经销'!M49+'线下渠道'!M49+'淘系达播'!M49+'抖音达播'!M49</f>
      </c>
      <c r="N51" s="117">
        <f>'淘系'!N49+'抖音'!N49+PDD!N49+'得物'!N49+'京东自营财经口径'!N49+'京东POP财经口径'!N49+'视频号+官网+小程序'!N49+'快手'!N49+'唯品会'!N49+'线下门店-直营'!N49+'线下门店-经销'!N49+'线下渠道'!N49+'淘系达播'!N49+'抖音达播'!N49</f>
      </c>
      <c r="O51" s="117">
        <f>SUM(C51:N51)</f>
      </c>
      <c r="P51" s="120">
        <f>O51/$O$16</f>
      </c>
      <c r="Q51" s="90" t="str">
        <v>线下门店</v>
      </c>
      <c r="R51">
        <f>R38*S45+R45</f>
      </c>
      <c r="T51" s="119">
        <f>O51-'淘系'!O49-'淘系达播'!O49-'抖音'!O49-'抖音达播'!O49-'快手'!O49-'京东POP财经口径'!O49-'京东自营财经口径'!O49-PDD!O49-'得物'!O49-'视频号+官网+小程序'!O49-'唯品会'!O49-'线下门店-直营'!O49-'线下门店-经销'!O49-'线下渠道'!O49</f>
      </c>
    </row>
    <row r="52">
      <c r="A52" s="118"/>
      <c r="B52" s="117" t="str">
        <v>门店人工</v>
      </c>
      <c r="C52" s="117">
        <f>'淘系'!C50+'抖音'!C50+PDD!C50+'得物'!C50+'京东自营财经口径'!C50+'京东POP财经口径'!C50+'视频号+官网+小程序'!C50+'快手'!C50+'唯品会'!C50+'线下门店-直营'!C50+'线下门店-经销'!C50+'线下渠道'!C50+'淘系达播'!C50+'抖音达播'!C50</f>
      </c>
      <c r="D52" s="117">
        <f>'淘系'!D50+'抖音'!D50+PDD!D50+'得物'!D50+'京东自营财经口径'!D50+'京东POP财经口径'!D50+'视频号+官网+小程序'!D50+'快手'!D50+'唯品会'!D50+'线下门店-直营'!D50+'线下门店-经销'!D50+'线下渠道'!D50+'淘系达播'!D50+'抖音达播'!D50</f>
      </c>
      <c r="E52" s="117">
        <f>'淘系'!E50+'抖音'!E50+PDD!E50+'得物'!E50+'京东自营财经口径'!E50+'京东POP财经口径'!E50+'视频号+官网+小程序'!E50+'快手'!E50+'唯品会'!E50+'线下门店-直营'!E50+'线下门店-经销'!E50+'线下渠道'!E50+'淘系达播'!E50+'抖音达播'!E50</f>
      </c>
      <c r="F52" s="117">
        <f>'淘系'!F50+'抖音'!F50+PDD!F50+'得物'!F50+'京东自营财经口径'!F50+'京东POP财经口径'!F50+'视频号+官网+小程序'!F50+'快手'!F50+'唯品会'!F50+'线下门店-直营'!F50+'线下门店-经销'!F50+'线下渠道'!F50+'淘系达播'!F50+'抖音达播'!F50</f>
      </c>
      <c r="G52" s="117">
        <f>'淘系'!G50+'抖音'!G50+PDD!G50+'得物'!G50+'京东自营财经口径'!G50+'京东POP财经口径'!G50+'视频号+官网+小程序'!G50+'快手'!G50+'唯品会'!G50+'线下门店-直营'!G50+'线下门店-经销'!G50+'线下渠道'!G50+'淘系达播'!G50+'抖音达播'!G50</f>
      </c>
      <c r="H52" s="117">
        <f>'淘系'!H50+'抖音'!H50+PDD!H50+'得物'!H50+'京东自营财经口径'!H50+'京东POP财经口径'!H50+'视频号+官网+小程序'!H50+'快手'!H50+'唯品会'!H50+'线下门店-直营'!H50+'线下门店-经销'!H50+'线下渠道'!H50+'淘系达播'!H50+'抖音达播'!H50</f>
      </c>
      <c r="I52" s="117">
        <f>'淘系'!I50+'抖音'!I50+PDD!I50+'得物'!I50+'京东自营财经口径'!I50+'京东POP财经口径'!I50+'视频号+官网+小程序'!I50+'快手'!I50+'唯品会'!I50+'线下门店-直营'!I50+'线下门店-经销'!I50+'线下渠道'!I50+'淘系达播'!I50+'抖音达播'!I50</f>
      </c>
      <c r="J52" s="117">
        <f>'淘系'!J50+'抖音'!J50+PDD!J50+'得物'!J50+'京东自营财经口径'!J50+'京东POP财经口径'!J50+'视频号+官网+小程序'!J50+'快手'!J50+'唯品会'!J50+'线下门店-直营'!J50+'线下门店-经销'!J50+'线下渠道'!J50+'淘系达播'!J50+'抖音达播'!J50</f>
      </c>
      <c r="K52" s="117">
        <f>'淘系'!K50+'抖音'!K50+PDD!K50+'得物'!K50+'京东自营财经口径'!K50+'京东POP财经口径'!K50+'视频号+官网+小程序'!K50+'快手'!K50+'唯品会'!K50+'线下门店-直营'!K50+'线下门店-经销'!K50+'线下渠道'!K50+'淘系达播'!K50+'抖音达播'!K50</f>
      </c>
      <c r="L52" s="117">
        <f>'淘系'!L50+'抖音'!L50+PDD!L50+'得物'!L50+'京东自营财经口径'!L50+'京东POP财经口径'!L50+'视频号+官网+小程序'!L50+'快手'!L50+'唯品会'!L50+'线下门店-直营'!L50+'线下门店-经销'!L50+'线下渠道'!L50+'淘系达播'!L50+'抖音达播'!L50</f>
      </c>
      <c r="M52" s="117">
        <f>'淘系'!M50+'抖音'!M50+PDD!M50+'得物'!M50+'京东自营财经口径'!M50+'京东POP财经口径'!M50+'视频号+官网+小程序'!M50+'快手'!M50+'唯品会'!M50+'线下门店-直营'!M50+'线下门店-经销'!M50+'线下渠道'!M50+'淘系达播'!M50+'抖音达播'!M50</f>
      </c>
      <c r="N52" s="117">
        <f>'淘系'!N50+'抖音'!N50+PDD!N50+'得物'!N50+'京东自营财经口径'!N50+'京东POP财经口径'!N50+'视频号+官网+小程序'!N50+'快手'!N50+'唯品会'!N50+'线下门店-直营'!N50+'线下门店-经销'!N50+'线下渠道'!N50+'淘系达播'!N50+'抖音达播'!N50</f>
      </c>
      <c r="O52" s="117">
        <f>SUM(C52:N52)</f>
      </c>
      <c r="P52" s="120">
        <f>O52/$O$16</f>
      </c>
      <c r="Q52" s="90" t="str">
        <v>线下门店</v>
      </c>
      <c r="T52" s="119">
        <f>O52-'淘系'!O50-'淘系达播'!O50-'抖音'!O50-'抖音达播'!O50-'快手'!O50-'京东POP财经口径'!O50-'京东自营财经口径'!O50-PDD!O50-'得物'!O50-'视频号+官网+小程序'!O50-'唯品会'!O50-'线下门店-直营'!O50-'线下门店-经销'!O50-'线下渠道'!O50</f>
      </c>
    </row>
    <row r="53">
      <c r="A53" s="1"/>
      <c r="B53" s="117" t="str">
        <v>门店展陈装修等其他</v>
      </c>
      <c r="C53" s="117">
        <f>'淘系'!C51+'抖音'!C51+PDD!C51+'得物'!C51+'京东自营财经口径'!C51+'京东POP财经口径'!C51+'视频号+官网+小程序'!C51+'快手'!C51+'唯品会'!C51+'线下门店-直营'!C51+'线下门店-经销'!C51+'线下渠道'!C51+'淘系达播'!C51+'抖音达播'!C51</f>
      </c>
      <c r="D53" s="117">
        <f>'淘系'!D51+'抖音'!D51+PDD!D51+'得物'!D51+'京东自营财经口径'!D51+'京东POP财经口径'!D51+'视频号+官网+小程序'!D51+'快手'!D51+'唯品会'!D51+'线下门店-直营'!D51+'线下门店-经销'!D51+'线下渠道'!D51+'淘系达播'!D51+'抖音达播'!D51</f>
      </c>
      <c r="E53" s="117">
        <f>'淘系'!E51+'抖音'!E51+PDD!E51+'得物'!E51+'京东自营财经口径'!E51+'京东POP财经口径'!E51+'视频号+官网+小程序'!E51+'快手'!E51+'唯品会'!E51+'线下门店-直营'!E51+'线下门店-经销'!E51+'线下渠道'!E51+'淘系达播'!E51+'抖音达播'!E51</f>
      </c>
      <c r="F53" s="117">
        <f>'淘系'!F51+'抖音'!F51+PDD!F51+'得物'!F51+'京东自营财经口径'!F51+'京东POP财经口径'!F51+'视频号+官网+小程序'!F51+'快手'!F51+'唯品会'!F51+'线下门店-直营'!F51+'线下门店-经销'!F51+'线下渠道'!F51+'淘系达播'!F51+'抖音达播'!F51</f>
      </c>
      <c r="G53" s="117">
        <f>'淘系'!G51+'抖音'!G51+PDD!G51+'得物'!G51+'京东自营财经口径'!G51+'京东POP财经口径'!G51+'视频号+官网+小程序'!G51+'快手'!G51+'唯品会'!G51+'线下门店-直营'!G51+'线下门店-经销'!G51+'线下渠道'!G51+'淘系达播'!G51+'抖音达播'!G51</f>
      </c>
      <c r="H53" s="117">
        <f>'淘系'!H51+'抖音'!H51+PDD!H51+'得物'!H51+'京东自营财经口径'!H51+'京东POP财经口径'!H51+'视频号+官网+小程序'!H51+'快手'!H51+'唯品会'!H51+'线下门店-直营'!H51+'线下门店-经销'!H51+'线下渠道'!H51+'淘系达播'!H51+'抖音达播'!H51</f>
      </c>
      <c r="I53" s="117">
        <f>'淘系'!I51+'抖音'!I51+PDD!I51+'得物'!I51+'京东自营财经口径'!I51+'京东POP财经口径'!I51+'视频号+官网+小程序'!I51+'快手'!I51+'唯品会'!I51+'线下门店-直营'!I51+'线下门店-经销'!I51+'线下渠道'!I51+'淘系达播'!I51+'抖音达播'!I51</f>
      </c>
      <c r="J53" s="117">
        <f>'淘系'!J51+'抖音'!J51+PDD!J51+'得物'!J51+'京东自营财经口径'!J51+'京东POP财经口径'!J51+'视频号+官网+小程序'!J51+'快手'!J51+'唯品会'!J51+'线下门店-直营'!J51+'线下门店-经销'!J51+'线下渠道'!J51+'淘系达播'!J51+'抖音达播'!J51</f>
      </c>
      <c r="K53" s="117">
        <f>'淘系'!K51+'抖音'!K51+PDD!K51+'得物'!K51+'京东自营财经口径'!K51+'京东POP财经口径'!K51+'视频号+官网+小程序'!K51+'快手'!K51+'唯品会'!K51+'线下门店-直营'!K51+'线下门店-经销'!K51+'线下渠道'!K51+'淘系达播'!K51+'抖音达播'!K51</f>
      </c>
      <c r="L53" s="117">
        <f>'淘系'!L51+'抖音'!L51+PDD!L51+'得物'!L51+'京东自营财经口径'!L51+'京东POP财经口径'!L51+'视频号+官网+小程序'!L51+'快手'!L51+'唯品会'!L51+'线下门店-直营'!L51+'线下门店-经销'!L51+'线下渠道'!L51+'淘系达播'!L51+'抖音达播'!L51</f>
      </c>
      <c r="M53" s="117">
        <f>'淘系'!M51+'抖音'!M51+PDD!M51+'得物'!M51+'京东自营财经口径'!M51+'京东POP财经口径'!M51+'视频号+官网+小程序'!M51+'快手'!M51+'唯品会'!M51+'线下门店-直营'!M51+'线下门店-经销'!M51+'线下渠道'!M51+'淘系达播'!M51+'抖音达播'!M51</f>
      </c>
      <c r="N53" s="117">
        <f>'淘系'!N51+'抖音'!N51+PDD!N51+'得物'!N51+'京东自营财经口径'!N51+'京东POP财经口径'!N51+'视频号+官网+小程序'!N51+'快手'!N51+'唯品会'!N51+'线下门店-直营'!N51+'线下门店-经销'!N51+'线下渠道'!N51+'淘系达播'!N51+'抖音达播'!N51</f>
      </c>
      <c r="O53" s="117">
        <f>SUM(C53:N53)</f>
      </c>
      <c r="P53" s="120">
        <f>O53/$O$16</f>
      </c>
      <c r="Q53" s="90" t="str">
        <v>线下门店</v>
      </c>
      <c r="T53" s="119">
        <f>O53-'淘系'!O51-'淘系达播'!O51-'抖音'!O51-'抖音达播'!O51-'快手'!O51-'京东POP财经口径'!O51-'京东自营财经口径'!O51-PDD!O51-'得物'!O51-'视频号+官网+小程序'!O51-'唯品会'!O51-'线下门店-直营'!O51-'线下门店-经销'!O51-'线下渠道'!O51</f>
      </c>
    </row>
    <row r="54">
      <c r="A54" s="1"/>
      <c r="B54" s="163" t="str">
        <v>市场投入费用</v>
      </c>
      <c r="C54" s="163">
        <f>SUM(C26,C37,C44,C49)</f>
      </c>
      <c r="D54" s="163">
        <f>SUM(D26,D37,D44,D49)</f>
      </c>
      <c r="E54" s="163">
        <f>SUM(E26,E37,E44,E49)</f>
      </c>
      <c r="F54" s="163">
        <f>SUM(F26,F37,F44,F49)</f>
      </c>
      <c r="G54" s="163">
        <f>SUM(G26,G37,G44,G49)</f>
      </c>
      <c r="H54" s="163">
        <f>SUM(H26,H37,H44,H49)</f>
      </c>
      <c r="I54" s="163">
        <f>SUM(I26,I37,I44,I49)</f>
      </c>
      <c r="J54" s="163">
        <f>SUM(J26,J37,J44,J49)</f>
      </c>
      <c r="K54" s="163">
        <f>SUM(K26,K37,K44,K49)</f>
      </c>
      <c r="L54" s="163">
        <f>SUM(L26,L37,L44,L49)</f>
      </c>
      <c r="M54" s="163">
        <f>SUM(M26,M37,M44,M49)</f>
      </c>
      <c r="N54" s="163">
        <f>SUM(N26,N37,N44,N49)</f>
      </c>
      <c r="O54" s="163">
        <f>SUM(C54:N54)</f>
      </c>
      <c r="P54" s="116">
        <f>O54/$O$16</f>
      </c>
      <c r="Q54" s="1"/>
      <c r="T54" s="119">
        <f>O54-'淘系'!O52-'淘系达播'!O52-'抖音'!O52-'抖音达播'!O52-'快手'!O52-'京东POP财经口径'!O52-'京东自营财经口径'!O52-PDD!O52-'得物'!O52-'视频号+官网+小程序'!O52-'唯品会'!O52-'线下门店-直营'!O52-'线下门店-经销'!O52-'线下渠道'!O52</f>
      </c>
    </row>
    <row r="55">
      <c r="A55" s="118"/>
      <c r="B55" s="117" t="str">
        <v>平台佣金</v>
      </c>
      <c r="C55" s="117">
        <f>'淘系'!C53+'抖音'!C53+PDD!C53+'得物'!C53+'京东自营财经口径'!C53+'京东POP财经口径'!C53+'视频号+官网+小程序'!C53+'快手'!C53+'唯品会'!C53+'线下门店-直营'!C53+'线下门店-经销'!C53+'线下渠道'!C53+'淘系达播'!C53+'抖音达播'!C53</f>
      </c>
      <c r="D55" s="117">
        <f>'淘系'!D53+'抖音'!D53+PDD!D53+'得物'!D53+'京东自营财经口径'!D53+'京东POP财经口径'!D53+'视频号+官网+小程序'!D53+'快手'!D53+'唯品会'!D53+'线下门店-直营'!D53+'线下门店-经销'!D53+'线下渠道'!D53+'淘系达播'!D53+'抖音达播'!D53</f>
      </c>
      <c r="E55" s="117">
        <f>'淘系'!E53+'抖音'!E53+PDD!E53+'得物'!E53+'京东自营财经口径'!E53+'京东POP财经口径'!E53+'视频号+官网+小程序'!E53+'快手'!E53+'唯品会'!E53+'线下门店-直营'!E53+'线下门店-经销'!E53+'线下渠道'!E53+'淘系达播'!E53+'抖音达播'!E53</f>
      </c>
      <c r="F55" s="117">
        <f>'淘系'!F53+'抖音'!F53+PDD!F53+'得物'!F53+'京东自营财经口径'!F53+'京东POP财经口径'!F53+'视频号+官网+小程序'!F53+'快手'!F53+'唯品会'!F53+'线下门店-直营'!F53+'线下门店-经销'!F53+'线下渠道'!F53+'淘系达播'!F53+'抖音达播'!F53</f>
      </c>
      <c r="G55" s="117">
        <f>'淘系'!G53+'抖音'!G53+PDD!G53+'得物'!G53+'京东自营财经口径'!G53+'京东POP财经口径'!G53+'视频号+官网+小程序'!G53+'快手'!G53+'唯品会'!G53+'线下门店-直营'!G53+'线下门店-经销'!G53+'线下渠道'!G53+'淘系达播'!G53+'抖音达播'!G53</f>
      </c>
      <c r="H55" s="117">
        <f>'淘系'!H53+'抖音'!H53+PDD!H53+'得物'!H53+'京东自营财经口径'!H53+'京东POP财经口径'!H53+'视频号+官网+小程序'!H53+'快手'!H53+'唯品会'!H53+'线下门店-直营'!H53+'线下门店-经销'!H53+'线下渠道'!H53+'淘系达播'!H53+'抖音达播'!H53</f>
      </c>
      <c r="I55" s="117">
        <f>'淘系'!I53+'抖音'!I53+PDD!I53+'得物'!I53+'京东自营财经口径'!I53+'京东POP财经口径'!I53+'视频号+官网+小程序'!I53+'快手'!I53+'唯品会'!I53+'线下门店-直营'!I53+'线下门店-经销'!I53+'线下渠道'!I53+'淘系达播'!I53+'抖音达播'!I53</f>
      </c>
      <c r="J55" s="117">
        <f>'淘系'!J53+'抖音'!J53+PDD!J53+'得物'!J53+'京东自营财经口径'!J53+'京东POP财经口径'!J53+'视频号+官网+小程序'!J53+'快手'!J53+'唯品会'!J53+'线下门店-直营'!J53+'线下门店-经销'!J53+'线下渠道'!J53+'淘系达播'!J53+'抖音达播'!J53</f>
      </c>
      <c r="K55" s="117">
        <f>'淘系'!K53+'抖音'!K53+PDD!K53+'得物'!K53+'京东自营财经口径'!K53+'京东POP财经口径'!K53+'视频号+官网+小程序'!K53+'快手'!K53+'唯品会'!K53+'线下门店-直营'!K53+'线下门店-经销'!K53+'线下渠道'!K53+'淘系达播'!K53+'抖音达播'!K53</f>
      </c>
      <c r="L55" s="117">
        <f>'淘系'!L53+'抖音'!L53+PDD!L53+'得物'!L53+'京东自营财经口径'!L53+'京东POP财经口径'!L53+'视频号+官网+小程序'!L53+'快手'!L53+'唯品会'!L53+'线下门店-直营'!L53+'线下门店-经销'!L53+'线下渠道'!L53+'淘系达播'!L53+'抖音达播'!L53</f>
      </c>
      <c r="M55" s="117">
        <f>'淘系'!M53+'抖音'!M53+PDD!M53+'得物'!M53+'京东自营财经口径'!M53+'京东POP财经口径'!M53+'视频号+官网+小程序'!M53+'快手'!M53+'唯品会'!M53+'线下门店-直营'!M53+'线下门店-经销'!M53+'线下渠道'!M53+'淘系达播'!M53+'抖音达播'!M53</f>
      </c>
      <c r="N55" s="117">
        <f>'淘系'!N53+'抖音'!N53+PDD!N53+'得物'!N53+'京东自营财经口径'!N53+'京东POP财经口径'!N53+'视频号+官网+小程序'!N53+'快手'!N53+'唯品会'!N53+'线下门店-直营'!N53+'线下门店-经销'!N53+'线下渠道'!N53+'淘系达播'!N53+'抖音达播'!N53</f>
      </c>
      <c r="O55" s="117">
        <f>SUM(C55:N55)</f>
      </c>
      <c r="P55" s="120">
        <f>O55/$O$16</f>
      </c>
      <c r="Q55" s="1"/>
      <c r="T55" s="119">
        <f>O55-'淘系'!O53-'淘系达播'!O53-'抖音'!O53-'抖音达播'!O53-'快手'!O53-'京东POP财经口径'!O53-'京东自营财经口径'!O53-PDD!O53-'得物'!O53-'视频号+官网+小程序'!O53-'唯品会'!O53-'线下门店-直营'!O53-'线下门店-经销'!O53-'线下渠道'!O53</f>
      </c>
    </row>
    <row r="56">
      <c r="A56" s="118"/>
      <c r="B56" s="117" t="str">
        <v>平台其他费用</v>
      </c>
      <c r="C56" s="117">
        <f>'淘系'!C54+'抖音'!C54+PDD!C54+'得物'!C54+'京东自营财经口径'!C54+'京东POP财经口径'!C54+'视频号+官网+小程序'!C54+'快手'!C54+'唯品会'!C54+'线下门店-直营'!C54+'线下门店-经销'!C54+'线下渠道'!C54+'淘系达播'!C54+'抖音达播'!C54</f>
      </c>
      <c r="D56" s="117">
        <f>'淘系'!D54+'抖音'!D54+PDD!D54+'得物'!D54+'京东自营财经口径'!D54+'京东POP财经口径'!D54+'视频号+官网+小程序'!D54+'快手'!D54+'唯品会'!D54+'线下门店-直营'!D54+'线下门店-经销'!D54+'线下渠道'!D54+'淘系达播'!D54+'抖音达播'!D54</f>
      </c>
      <c r="E56" s="117">
        <f>'淘系'!E54+'抖音'!E54+PDD!E54+'得物'!E54+'京东自营财经口径'!E54+'京东POP财经口径'!E54+'视频号+官网+小程序'!E54+'快手'!E54+'唯品会'!E54+'线下门店-直营'!E54+'线下门店-经销'!E54+'线下渠道'!E54+'淘系达播'!E54+'抖音达播'!E54</f>
      </c>
      <c r="F56" s="117">
        <f>'淘系'!F54+'抖音'!F54+PDD!F54+'得物'!F54+'京东自营财经口径'!F54+'京东POP财经口径'!F54+'视频号+官网+小程序'!F54+'快手'!F54+'唯品会'!F54+'线下门店-直营'!F54+'线下门店-经销'!F54+'线下渠道'!F54+'淘系达播'!F54+'抖音达播'!F54</f>
      </c>
      <c r="G56" s="117">
        <f>'淘系'!G54+'抖音'!G54+PDD!G54+'得物'!G54+'京东自营财经口径'!G54+'京东POP财经口径'!G54+'视频号+官网+小程序'!G54+'快手'!G54+'唯品会'!G54+'线下门店-直营'!G54+'线下门店-经销'!G54+'线下渠道'!G54+'淘系达播'!G54+'抖音达播'!G54</f>
      </c>
      <c r="H56" s="117">
        <f>'淘系'!H54+'抖音'!H54+PDD!H54+'得物'!H54+'京东自营财经口径'!H54+'京东POP财经口径'!H54+'视频号+官网+小程序'!H54+'快手'!H54+'唯品会'!H54+'线下门店-直营'!H54+'线下门店-经销'!H54+'线下渠道'!H54+'淘系达播'!H54+'抖音达播'!H54</f>
      </c>
      <c r="I56" s="117">
        <f>'淘系'!I54+'抖音'!I54+PDD!I54+'得物'!I54+'京东自营财经口径'!I54+'京东POP财经口径'!I54+'视频号+官网+小程序'!I54+'快手'!I54+'唯品会'!I54+'线下门店-直营'!I54+'线下门店-经销'!I54+'线下渠道'!I54+'淘系达播'!I54+'抖音达播'!I54</f>
      </c>
      <c r="J56" s="117">
        <f>'淘系'!J54+'抖音'!J54+PDD!J54+'得物'!J54+'京东自营财经口径'!J54+'京东POP财经口径'!J54+'视频号+官网+小程序'!J54+'快手'!J54+'唯品会'!J54+'线下门店-直营'!J54+'线下门店-经销'!J54+'线下渠道'!J54+'淘系达播'!J54+'抖音达播'!J54</f>
      </c>
      <c r="K56" s="117">
        <f>'淘系'!K54+'抖音'!K54+PDD!K54+'得物'!K54+'京东自营财经口径'!K54+'京东POP财经口径'!K54+'视频号+官网+小程序'!K54+'快手'!K54+'唯品会'!K54+'线下门店-直营'!K54+'线下门店-经销'!K54+'线下渠道'!K54+'淘系达播'!K54+'抖音达播'!K54</f>
      </c>
      <c r="L56" s="117">
        <f>'淘系'!L54+'抖音'!L54+PDD!L54+'得物'!L54+'京东自营财经口径'!L54+'京东POP财经口径'!L54+'视频号+官网+小程序'!L54+'快手'!L54+'唯品会'!L54+'线下门店-直营'!L54+'线下门店-经销'!L54+'线下渠道'!L54+'淘系达播'!L54+'抖音达播'!L54</f>
      </c>
      <c r="M56" s="117">
        <f>'淘系'!M54+'抖音'!M54+PDD!M54+'得物'!M54+'京东自营财经口径'!M54+'京东POP财经口径'!M54+'视频号+官网+小程序'!M54+'快手'!M54+'唯品会'!M54+'线下门店-直营'!M54+'线下门店-经销'!M54+'线下渠道'!M54+'淘系达播'!M54+'抖音达播'!M54</f>
      </c>
      <c r="N56" s="117">
        <f>'淘系'!N54+'抖音'!N54+PDD!N54+'得物'!N54+'京东自营财经口径'!N54+'京东POP财经口径'!N54+'视频号+官网+小程序'!N54+'快手'!N54+'唯品会'!N54+'线下门店-直营'!N54+'线下门店-经销'!N54+'线下渠道'!N54+'淘系达播'!N54+'抖音达播'!N54</f>
      </c>
      <c r="O56" s="117">
        <f>SUM(C56:N56)</f>
      </c>
      <c r="P56" s="120">
        <f>O56/$O$16</f>
      </c>
      <c r="Q56" s="1"/>
      <c r="T56" s="119">
        <f>O56-'淘系'!O54-'淘系达播'!O54-'抖音'!O54-'抖音达播'!O54-'快手'!O54-'京东POP财经口径'!O54-'京东自营财经口径'!O54-PDD!O54-'得物'!O54-'视频号+官网+小程序'!O54-'唯品会'!O54-'线下门店-直营'!O54-'线下门店-经销'!O54-'线下渠道'!O54</f>
      </c>
    </row>
    <row r="57">
      <c r="A57" s="118"/>
      <c r="B57" s="117" t="str">
        <v>售后费用</v>
      </c>
      <c r="C57" s="117">
        <f>'淘系'!C55+'抖音'!C55+PDD!C55+'得物'!C55+'京东自营财经口径'!C55+'京东POP财经口径'!C55+'视频号+官网+小程序'!C55+'快手'!C55+'唯品会'!C55+'线下门店-直营'!C55+'线下门店-经销'!C55+'线下渠道'!C55+'淘系达播'!C55+'抖音达播'!C55</f>
      </c>
      <c r="D57" s="117">
        <f>'淘系'!D55+'抖音'!D55+PDD!D55+'得物'!D55+'京东自营财经口径'!D55+'京东POP财经口径'!D55+'视频号+官网+小程序'!D55+'快手'!D55+'唯品会'!D55+'线下门店-直营'!D55+'线下门店-经销'!D55+'线下渠道'!D55+'淘系达播'!D55+'抖音达播'!D55</f>
      </c>
      <c r="E57" s="117">
        <f>'淘系'!E55+'抖音'!E55+PDD!E55+'得物'!E55+'京东自营财经口径'!E55+'京东POP财经口径'!E55+'视频号+官网+小程序'!E55+'快手'!E55+'唯品会'!E55+'线下门店-直营'!E55+'线下门店-经销'!E55+'线下渠道'!E55+'淘系达播'!E55+'抖音达播'!E55</f>
      </c>
      <c r="F57" s="117">
        <f>'淘系'!F55+'抖音'!F55+PDD!F55+'得物'!F55+'京东自营财经口径'!F55+'京东POP财经口径'!F55+'视频号+官网+小程序'!F55+'快手'!F55+'唯品会'!F55+'线下门店-直营'!F55+'线下门店-经销'!F55+'线下渠道'!F55+'淘系达播'!F55+'抖音达播'!F55</f>
      </c>
      <c r="G57" s="117">
        <f>'淘系'!G55+'抖音'!G55+PDD!G55+'得物'!G55+'京东自营财经口径'!G55+'京东POP财经口径'!G55+'视频号+官网+小程序'!G55+'快手'!G55+'唯品会'!G55+'线下门店-直营'!G55+'线下门店-经销'!G55+'线下渠道'!G55+'淘系达播'!G55+'抖音达播'!G55</f>
      </c>
      <c r="H57" s="117">
        <f>'淘系'!H55+'抖音'!H55+PDD!H55+'得物'!H55+'京东自营财经口径'!H55+'京东POP财经口径'!H55+'视频号+官网+小程序'!H55+'快手'!H55+'唯品会'!H55+'线下门店-直营'!H55+'线下门店-经销'!H55+'线下渠道'!H55+'淘系达播'!H55+'抖音达播'!H55</f>
      </c>
      <c r="I57" s="117">
        <f>'淘系'!I55+'抖音'!I55+PDD!I55+'得物'!I55+'京东自营财经口径'!I55+'京东POP财经口径'!I55+'视频号+官网+小程序'!I55+'快手'!I55+'唯品会'!I55+'线下门店-直营'!I55+'线下门店-经销'!I55+'线下渠道'!I55+'淘系达播'!I55+'抖音达播'!I55</f>
      </c>
      <c r="J57" s="117">
        <f>'淘系'!J55+'抖音'!J55+PDD!J55+'得物'!J55+'京东自营财经口径'!J55+'京东POP财经口径'!J55+'视频号+官网+小程序'!J55+'快手'!J55+'唯品会'!J55+'线下门店-直营'!J55+'线下门店-经销'!J55+'线下渠道'!J55+'淘系达播'!J55+'抖音达播'!J55</f>
      </c>
      <c r="K57" s="117">
        <f>'淘系'!K55+'抖音'!K55+PDD!K55+'得物'!K55+'京东自营财经口径'!K55+'京东POP财经口径'!K55+'视频号+官网+小程序'!K55+'快手'!K55+'唯品会'!K55+'线下门店-直营'!K55+'线下门店-经销'!K55+'线下渠道'!K55+'淘系达播'!K55+'抖音达播'!K55</f>
      </c>
      <c r="L57" s="117">
        <f>'淘系'!L55+'抖音'!L55+PDD!L55+'得物'!L55+'京东自营财经口径'!L55+'京东POP财经口径'!L55+'视频号+官网+小程序'!L55+'快手'!L55+'唯品会'!L55+'线下门店-直营'!L55+'线下门店-经销'!L55+'线下渠道'!L55+'淘系达播'!L55+'抖音达播'!L55</f>
      </c>
      <c r="M57" s="117">
        <f>'淘系'!M55+'抖音'!M55+PDD!M55+'得物'!M55+'京东自营财经口径'!M55+'京东POP财经口径'!M55+'视频号+官网+小程序'!M55+'快手'!M55+'唯品会'!M55+'线下门店-直营'!M55+'线下门店-经销'!M55+'线下渠道'!M55+'淘系达播'!M55+'抖音达播'!M55</f>
      </c>
      <c r="N57" s="117">
        <f>'淘系'!N55+'抖音'!N55+PDD!N55+'得物'!N55+'京东自营财经口径'!N55+'京东POP财经口径'!N55+'视频号+官网+小程序'!N55+'快手'!N55+'唯品会'!N55+'线下门店-直营'!N55+'线下门店-经销'!N55+'线下渠道'!N55+'淘系达播'!N55+'抖音达播'!N55</f>
      </c>
      <c r="O57" s="117">
        <f>SUM(C57:N57)</f>
      </c>
      <c r="P57" s="120">
        <f>O57/$O$16</f>
      </c>
      <c r="Q57" s="1"/>
      <c r="T57" s="119">
        <f>O57-'淘系'!O55-'淘系达播'!O55-'抖音'!O55-'抖音达播'!O55-'快手'!O55-'京东POP财经口径'!O55-'京东自营财经口径'!O55-PDD!O55-'得物'!O55-'视频号+官网+小程序'!O55-'唯品会'!O55-'线下门店-直营'!O55-'线下门店-经销'!O55-'线下渠道'!O55</f>
      </c>
    </row>
    <row r="58">
      <c r="A58" s="118"/>
      <c r="B58" s="117" t="str">
        <v>短信及店铺软件</v>
      </c>
      <c r="C58" s="117">
        <f>'淘系'!C56+'抖音'!C56+PDD!C56+'得物'!C56+'京东自营财经口径'!C56+'京东POP财经口径'!C56+'视频号+官网+小程序'!C56+'快手'!C56+'唯品会'!C56+'线下门店-直营'!C56+'线下门店-经销'!C56+'线下渠道'!C56+'淘系达播'!C56+'抖音达播'!C56</f>
      </c>
      <c r="D58" s="117">
        <f>'淘系'!D56+'抖音'!D56+PDD!D56+'得物'!D56+'京东自营财经口径'!D56+'京东POP财经口径'!D56+'视频号+官网+小程序'!D56+'快手'!D56+'唯品会'!D56+'线下门店-直营'!D56+'线下门店-经销'!D56+'线下渠道'!D56+'淘系达播'!D56+'抖音达播'!D56</f>
      </c>
      <c r="E58" s="117">
        <f>'淘系'!E56+'抖音'!E56+PDD!E56+'得物'!E56+'京东自营财经口径'!E56+'京东POP财经口径'!E56+'视频号+官网+小程序'!E56+'快手'!E56+'唯品会'!E56+'线下门店-直营'!E56+'线下门店-经销'!E56+'线下渠道'!E56+'淘系达播'!E56+'抖音达播'!E56</f>
      </c>
      <c r="F58" s="117">
        <f>'淘系'!F56+'抖音'!F56+PDD!F56+'得物'!F56+'京东自营财经口径'!F56+'京东POP财经口径'!F56+'视频号+官网+小程序'!F56+'快手'!F56+'唯品会'!F56+'线下门店-直营'!F56+'线下门店-经销'!F56+'线下渠道'!F56+'淘系达播'!F56+'抖音达播'!F56</f>
      </c>
      <c r="G58" s="117">
        <f>'淘系'!G56+'抖音'!G56+PDD!G56+'得物'!G56+'京东自营财经口径'!G56+'京东POP财经口径'!G56+'视频号+官网+小程序'!G56+'快手'!G56+'唯品会'!G56+'线下门店-直营'!G56+'线下门店-经销'!G56+'线下渠道'!G56+'淘系达播'!G56+'抖音达播'!G56</f>
      </c>
      <c r="H58" s="117">
        <f>'淘系'!H56+'抖音'!H56+PDD!H56+'得物'!H56+'京东自营财经口径'!H56+'京东POP财经口径'!H56+'视频号+官网+小程序'!H56+'快手'!H56+'唯品会'!H56+'线下门店-直营'!H56+'线下门店-经销'!H56+'线下渠道'!H56+'淘系达播'!H56+'抖音达播'!H56</f>
      </c>
      <c r="I58" s="117">
        <f>'淘系'!I56+'抖音'!I56+PDD!I56+'得物'!I56+'京东自营财经口径'!I56+'京东POP财经口径'!I56+'视频号+官网+小程序'!I56+'快手'!I56+'唯品会'!I56+'线下门店-直营'!I56+'线下门店-经销'!I56+'线下渠道'!I56+'淘系达播'!I56+'抖音达播'!I56</f>
      </c>
      <c r="J58" s="117">
        <f>'淘系'!J56+'抖音'!J56+PDD!J56+'得物'!J56+'京东自营财经口径'!J56+'京东POP财经口径'!J56+'视频号+官网+小程序'!J56+'快手'!J56+'唯品会'!J56+'线下门店-直营'!J56+'线下门店-经销'!J56+'线下渠道'!J56+'淘系达播'!J56+'抖音达播'!J56</f>
      </c>
      <c r="K58" s="117">
        <f>'淘系'!K56+'抖音'!K56+PDD!K56+'得物'!K56+'京东自营财经口径'!K56+'京东POP财经口径'!K56+'视频号+官网+小程序'!K56+'快手'!K56+'唯品会'!K56+'线下门店-直营'!K56+'线下门店-经销'!K56+'线下渠道'!K56+'淘系达播'!K56+'抖音达播'!K56</f>
      </c>
      <c r="L58" s="117">
        <f>'淘系'!L56+'抖音'!L56+PDD!L56+'得物'!L56+'京东自营财经口径'!L56+'京东POP财经口径'!L56+'视频号+官网+小程序'!L56+'快手'!L56+'唯品会'!L56+'线下门店-直营'!L56+'线下门店-经销'!L56+'线下渠道'!L56+'淘系达播'!L56+'抖音达播'!L56</f>
      </c>
      <c r="M58" s="117">
        <f>'淘系'!M56+'抖音'!M56+PDD!M56+'得物'!M56+'京东自营财经口径'!M56+'京东POP财经口径'!M56+'视频号+官网+小程序'!M56+'快手'!M56+'唯品会'!M56+'线下门店-直营'!M56+'线下门店-经销'!M56+'线下渠道'!M56+'淘系达播'!M56+'抖音达播'!M56</f>
      </c>
      <c r="N58" s="117">
        <f>'淘系'!N56+'抖音'!N56+PDD!N56+'得物'!N56+'京东自营财经口径'!N56+'京东POP财经口径'!N56+'视频号+官网+小程序'!N56+'快手'!N56+'唯品会'!N56+'线下门店-直营'!N56+'线下门店-经销'!N56+'线下渠道'!N56+'淘系达播'!N56+'抖音达播'!N56</f>
      </c>
      <c r="O58" s="117">
        <f>SUM(C58:N58)</f>
      </c>
      <c r="P58" s="120">
        <f>O58/$O$16</f>
      </c>
      <c r="Q58" s="1"/>
      <c r="T58" s="119">
        <f>O58-'淘系'!O56-'淘系达播'!O56-'抖音'!O56-'抖音达播'!O56-'快手'!O56-'京东POP财经口径'!O56-'京东自营财经口径'!O56-PDD!O56-'得物'!O56-'视频号+官网+小程序'!O56-'唯品会'!O56-'线下门店-直营'!O56-'线下门店-经销'!O56-'线下渠道'!O56</f>
      </c>
    </row>
    <row r="59">
      <c r="A59" s="118"/>
      <c r="B59" s="117" t="str">
        <v>其他运营费用（咨询调研等）</v>
      </c>
      <c r="C59" s="117">
        <f>'淘系'!C57+'抖音'!C57+PDD!C57+'得物'!C57+'京东自营财经口径'!C57+'京东POP财经口径'!C57+'视频号+官网+小程序'!C57+'快手'!C57+'唯品会'!C57+'线下门店-直营'!C57+'线下门店-经销'!C57+'线下渠道'!C57+'淘系达播'!C57+'抖音达播'!C57</f>
      </c>
      <c r="D59" s="117">
        <f>'淘系'!D57+'抖音'!D57+PDD!D57+'得物'!D57+'京东自营财经口径'!D57+'京东POP财经口径'!D57+'视频号+官网+小程序'!D57+'快手'!D57+'唯品会'!D57+'线下门店-直营'!D57+'线下门店-经销'!D57+'线下渠道'!D57+'淘系达播'!D57+'抖音达播'!D57</f>
      </c>
      <c r="E59" s="117">
        <f>'淘系'!E57+'抖音'!E57+PDD!E57+'得物'!E57+'京东自营财经口径'!E57+'京东POP财经口径'!E57+'视频号+官网+小程序'!E57+'快手'!E57+'唯品会'!E57+'线下门店-直营'!E57+'线下门店-经销'!E57+'线下渠道'!E57+'淘系达播'!E57+'抖音达播'!E57</f>
      </c>
      <c r="F59" s="117">
        <f>'淘系'!F57+'抖音'!F57+PDD!F57+'得物'!F57+'京东自营财经口径'!F57+'京东POP财经口径'!F57+'视频号+官网+小程序'!F57+'快手'!F57+'唯品会'!F57+'线下门店-直营'!F57+'线下门店-经销'!F57+'线下渠道'!F57+'淘系达播'!F57+'抖音达播'!F57</f>
      </c>
      <c r="G59" s="117">
        <f>'淘系'!G57+'抖音'!G57+PDD!G57+'得物'!G57+'京东自营财经口径'!G57+'京东POP财经口径'!G57+'视频号+官网+小程序'!G57+'快手'!G57+'唯品会'!G57+'线下门店-直营'!G57+'线下门店-经销'!G57+'线下渠道'!G57+'淘系达播'!G57+'抖音达播'!G57</f>
      </c>
      <c r="H59" s="117">
        <f>'淘系'!H57+'抖音'!H57+PDD!H57+'得物'!H57+'京东自营财经口径'!H57+'京东POP财经口径'!H57+'视频号+官网+小程序'!H57+'快手'!H57+'唯品会'!H57+'线下门店-直营'!H57+'线下门店-经销'!H57+'线下渠道'!H57+'淘系达播'!H57+'抖音达播'!H57</f>
      </c>
      <c r="I59" s="117">
        <f>'淘系'!I57+'抖音'!I57+PDD!I57+'得物'!I57+'京东自营财经口径'!I57+'京东POP财经口径'!I57+'视频号+官网+小程序'!I57+'快手'!I57+'唯品会'!I57+'线下门店-直营'!I57+'线下门店-经销'!I57+'线下渠道'!I57+'淘系达播'!I57+'抖音达播'!I57</f>
      </c>
      <c r="J59" s="117">
        <f>'淘系'!J57+'抖音'!J57+PDD!J57+'得物'!J57+'京东自营财经口径'!J57+'京东POP财经口径'!J57+'视频号+官网+小程序'!J57+'快手'!J57+'唯品会'!J57+'线下门店-直营'!J57+'线下门店-经销'!J57+'线下渠道'!J57+'淘系达播'!J57+'抖音达播'!J57</f>
      </c>
      <c r="K59" s="117">
        <f>'淘系'!K57+'抖音'!K57+PDD!K57+'得物'!K57+'京东自营财经口径'!K57+'京东POP财经口径'!K57+'视频号+官网+小程序'!K57+'快手'!K57+'唯品会'!K57+'线下门店-直营'!K57+'线下门店-经销'!K57+'线下渠道'!K57+'淘系达播'!K57+'抖音达播'!K57</f>
      </c>
      <c r="L59" s="117">
        <f>'淘系'!L57+'抖音'!L57+PDD!L57+'得物'!L57+'京东自营财经口径'!L57+'京东POP财经口径'!L57+'视频号+官网+小程序'!L57+'快手'!L57+'唯品会'!L57+'线下门店-直营'!L57+'线下门店-经销'!L57+'线下渠道'!L57+'淘系达播'!L57+'抖音达播'!L57</f>
      </c>
      <c r="M59" s="117">
        <f>'淘系'!M57+'抖音'!M57+PDD!M57+'得物'!M57+'京东自营财经口径'!M57+'京东POP财经口径'!M57+'视频号+官网+小程序'!M57+'快手'!M57+'唯品会'!M57+'线下门店-直营'!M57+'线下门店-经销'!M57+'线下渠道'!M57+'淘系达播'!M57+'抖音达播'!M57</f>
      </c>
      <c r="N59" s="117">
        <f>'淘系'!N57+'抖音'!N57+PDD!N57+'得物'!N57+'京东自营财经口径'!N57+'京东POP财经口径'!N57+'视频号+官网+小程序'!N57+'快手'!N57+'唯品会'!N57+'线下门店-直营'!N57+'线下门店-经销'!N57+'线下渠道'!N57+'淘系达播'!N57+'抖音达播'!N57</f>
      </c>
      <c r="O59" s="117">
        <f>SUM(C59:N59)</f>
      </c>
      <c r="P59" s="120">
        <f>O59/$O$16</f>
      </c>
      <c r="Q59" s="164" t="str">
        <v>新品需求调研，产品上市反馈</v>
      </c>
      <c r="T59" s="119">
        <f>O59-'淘系'!O57-'淘系达播'!O57-'抖音'!O57-'抖音达播'!O57-'快手'!O57-'京东POP财经口径'!O57-'京东自营财经口径'!O57-PDD!O57-'得物'!O57-'视频号+官网+小程序'!O57-'唯品会'!O57-'线下门店-直营'!O57-'线下门店-经销'!O57-'线下渠道'!O57</f>
      </c>
    </row>
    <row r="60">
      <c r="A60" s="1"/>
      <c r="B60" s="163" t="str">
        <v>店铺运营费用</v>
      </c>
      <c r="C60" s="163">
        <f>SUM(C55:C59)</f>
      </c>
      <c r="D60" s="163">
        <f>SUM(D55:D59)</f>
      </c>
      <c r="E60" s="163">
        <f>SUM(E55:E59)</f>
      </c>
      <c r="F60" s="163">
        <f>SUM(F55:F59)</f>
      </c>
      <c r="G60" s="163">
        <f>SUM(G55:G59)</f>
      </c>
      <c r="H60" s="163">
        <f>SUM(H55:H59)</f>
      </c>
      <c r="I60" s="163">
        <f>SUM(I55:I59)</f>
      </c>
      <c r="J60" s="163">
        <f>SUM(J55:J59)</f>
      </c>
      <c r="K60" s="163">
        <f>SUM(K55:K59)</f>
      </c>
      <c r="L60" s="163">
        <f>SUM(L55:L59)</f>
      </c>
      <c r="M60" s="163">
        <f>SUM(M55:M59)</f>
      </c>
      <c r="N60" s="163">
        <f>SUM(N55:N59)</f>
      </c>
      <c r="O60" s="163">
        <f>SUM(C60:N60)</f>
      </c>
      <c r="P60" s="116">
        <f>O60/$O$16</f>
      </c>
      <c r="Q60" s="1"/>
      <c r="T60" s="119">
        <f>O60-'淘系'!O58-'淘系达播'!O58-'抖音'!O58-'抖音达播'!O58-'快手'!O58-'京东POP财经口径'!O58-'京东自营财经口径'!O58-PDD!O58-'得物'!O58-'视频号+官网+小程序'!O58-'唯品会'!O58-'线下门店-直营'!O58-'线下门店-经销'!O58-'线下渠道'!O58</f>
      </c>
    </row>
    <row r="61">
      <c r="A61" s="135"/>
      <c r="B61" s="161" t="str">
        <v>A&amp;P 合计数</v>
      </c>
      <c r="C61" s="161">
        <f>SUM(C54,C60)</f>
      </c>
      <c r="D61" s="161">
        <f>SUM(D54,D60)</f>
      </c>
      <c r="E61" s="161">
        <f>SUM(E54,E60)</f>
      </c>
      <c r="F61" s="161">
        <f>SUM(F54,F60)</f>
      </c>
      <c r="G61" s="161">
        <f>SUM(G54,G60)</f>
      </c>
      <c r="H61" s="161">
        <f>SUM(H54,H60)</f>
      </c>
      <c r="I61" s="161">
        <f>SUM(I54,I60)</f>
      </c>
      <c r="J61" s="161">
        <f>SUM(J54,J60)</f>
      </c>
      <c r="K61" s="161">
        <f>SUM(K54,K60)</f>
      </c>
      <c r="L61" s="161">
        <f>SUM(L54,L60)</f>
      </c>
      <c r="M61" s="161">
        <f>SUM(M54,M60)</f>
      </c>
      <c r="N61" s="161">
        <f>SUM(N54,N60)</f>
      </c>
      <c r="O61" s="161">
        <f>SUM(C61:N61)</f>
      </c>
      <c r="P61" s="162">
        <f>O61/$O$16</f>
      </c>
      <c r="Q61" s="135"/>
      <c r="R61" s="106"/>
      <c r="S61" s="106"/>
      <c r="T61" s="119">
        <f>O61-'淘系'!O59-'淘系达播'!O59-'抖音'!O59-'抖音达播'!O59-'快手'!O59-'京东POP财经口径'!O59-'京东自营财经口径'!O59-PDD!O59-'得物'!O59-'视频号+官网+小程序'!O59-'唯品会'!O59-'线下门店-直营'!O59-'线下门店-经销'!O59-'线下渠道'!O59</f>
      </c>
      <c r="U61" s="106"/>
      <c r="V61" s="106"/>
    </row>
    <row r="62">
      <c r="A62" s="135"/>
      <c r="B62" s="161" t="str">
        <v>店铺利润</v>
      </c>
      <c r="C62" s="161">
        <f>C22-C61</f>
      </c>
      <c r="D62" s="161">
        <f>D22-D61</f>
      </c>
      <c r="E62" s="161">
        <f>E22-E61</f>
      </c>
      <c r="F62" s="161">
        <f>F22-F61</f>
      </c>
      <c r="G62" s="161">
        <f>G22-G61</f>
      </c>
      <c r="H62" s="161">
        <f>H22-H61</f>
      </c>
      <c r="I62" s="161">
        <f>I22-I61</f>
      </c>
      <c r="J62" s="161">
        <f>J22-J61</f>
      </c>
      <c r="K62" s="161">
        <f>K22-K61</f>
      </c>
      <c r="L62" s="161">
        <f>L22-L61</f>
      </c>
      <c r="M62" s="161">
        <f>M22-M61</f>
      </c>
      <c r="N62" s="161">
        <f>N22-N61</f>
      </c>
      <c r="O62" s="161">
        <f>SUM(C62:N62)</f>
      </c>
      <c r="P62" s="162">
        <f>O62/$O$16</f>
      </c>
      <c r="Q62" s="135" t="str">
        <v>1700万成本差</v>
      </c>
      <c r="R62" s="107"/>
      <c r="S62" s="107"/>
      <c r="T62" s="119">
        <f>O62-'淘系'!O60-'淘系达播'!O60-'抖音'!O60-'抖音达播'!O60-'快手'!O60-'京东POP财经口径'!O60-'京东自营财经口径'!O60-PDD!O60-'得物'!O60-'视频号+官网+小程序'!O60-'唯品会'!O60-'线下门店-直营'!O60-'线下门店-经销'!O60-'线下渠道'!O60</f>
      </c>
      <c r="U62" s="107"/>
      <c r="V62" s="107"/>
    </row>
    <row r="63">
      <c r="A63" s="1"/>
      <c r="B63" s="1"/>
      <c r="C63" s="160">
        <f>C62/C16</f>
      </c>
      <c r="D63" s="160">
        <f>D62/D16</f>
      </c>
      <c r="E63" s="160">
        <f>E62/E16</f>
      </c>
      <c r="F63" s="160">
        <f>F62/F16</f>
      </c>
      <c r="G63" s="160">
        <f>G62/G16</f>
      </c>
      <c r="H63" s="160">
        <f>H62/H16</f>
      </c>
      <c r="I63" s="160">
        <f>I62/I16</f>
      </c>
      <c r="J63" s="160">
        <f>J62/J16</f>
      </c>
      <c r="K63" s="160">
        <f>K62/K16</f>
      </c>
      <c r="L63" s="160">
        <f>L62/L16</f>
      </c>
      <c r="M63" s="160">
        <f>M62/M16</f>
      </c>
      <c r="N63" s="160">
        <f>N62/N16</f>
      </c>
      <c r="O63" s="160">
        <f>O62/O16</f>
      </c>
      <c r="P63" s="1"/>
      <c r="Q63" s="1"/>
      <c r="R63" s="1"/>
      <c r="S63" s="1"/>
      <c r="T63" s="1"/>
    </row>
    <row r="64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7"/>
      <c r="V64" s="157"/>
    </row>
    <row r="65">
      <c r="A65" s="1"/>
      <c r="B65" s="149" t="str">
        <v>BU 可控运营费用</v>
      </c>
      <c r="C65" s="142">
        <f>C66+C67</f>
      </c>
      <c r="D65" s="142">
        <f>D66+D67</f>
      </c>
      <c r="E65" s="142">
        <f>E66+E67</f>
      </c>
      <c r="F65" s="142">
        <f>F66+F67</f>
      </c>
      <c r="G65" s="142">
        <f>G66+G67</f>
      </c>
      <c r="H65" s="142">
        <f>H66+H67</f>
      </c>
      <c r="I65" s="142">
        <f>I66+I67</f>
      </c>
      <c r="J65" s="142">
        <f>J66+J67</f>
      </c>
      <c r="K65" s="142">
        <f>K66+K67</f>
      </c>
      <c r="L65" s="142">
        <f>L66+L67</f>
      </c>
      <c r="M65" s="142">
        <f>M66+M67</f>
      </c>
      <c r="N65" s="142">
        <f>N66+N67</f>
      </c>
      <c r="O65" s="150">
        <f>SUM(C65:N65)</f>
      </c>
      <c r="P65" s="143">
        <f>O65/$O$16</f>
      </c>
      <c r="Q65" s="1"/>
      <c r="R65" s="1"/>
      <c r="S65" s="1"/>
      <c r="T65" s="1"/>
    </row>
    <row r="66">
      <c r="A66" s="1"/>
      <c r="B66" s="154" t="str">
        <v>销售管理费用</v>
      </c>
      <c r="C66" s="153">
        <v>500000</v>
      </c>
      <c r="D66" s="159">
        <v>500000</v>
      </c>
      <c r="E66" s="159">
        <v>500000</v>
      </c>
      <c r="F66" s="159">
        <v>500000</v>
      </c>
      <c r="G66" s="159">
        <v>500000</v>
      </c>
      <c r="H66" s="159">
        <v>500000</v>
      </c>
      <c r="I66" s="159">
        <v>500000</v>
      </c>
      <c r="J66" s="159">
        <v>500000</v>
      </c>
      <c r="K66" s="159">
        <v>500000</v>
      </c>
      <c r="L66" s="159">
        <v>500000</v>
      </c>
      <c r="M66" s="159">
        <v>500000</v>
      </c>
      <c r="N66" s="159">
        <v>500000</v>
      </c>
      <c r="O66" s="140">
        <f>SUM(C66:N66)</f>
      </c>
      <c r="P66" s="155">
        <f>O66/$O$16</f>
      </c>
      <c r="Q66" s="1"/>
      <c r="R66" s="1"/>
      <c r="S66" s="1"/>
      <c r="T66" s="1"/>
    </row>
    <row r="67">
      <c r="A67" s="1"/>
      <c r="B67" s="154" t="str">
        <v>研发费用</v>
      </c>
      <c r="C67" s="153">
        <v>3500000</v>
      </c>
      <c r="D67" s="153">
        <v>3500000</v>
      </c>
      <c r="E67" s="153">
        <v>3300000</v>
      </c>
      <c r="F67" s="153">
        <v>3300000</v>
      </c>
      <c r="G67" s="153">
        <v>3300000</v>
      </c>
      <c r="H67" s="153">
        <v>2300000</v>
      </c>
      <c r="I67" s="153">
        <v>1800000</v>
      </c>
      <c r="J67" s="153">
        <v>1800000</v>
      </c>
      <c r="K67" s="153">
        <v>1800000</v>
      </c>
      <c r="L67" s="153">
        <v>1800000</v>
      </c>
      <c r="M67" s="153">
        <v>1800000</v>
      </c>
      <c r="N67" s="153">
        <v>1800000</v>
      </c>
      <c r="O67" s="140">
        <f>SUM(C67:N67)</f>
      </c>
      <c r="P67" s="155">
        <f>O67/$O$16</f>
      </c>
      <c r="Q67" s="1"/>
      <c r="R67" s="1"/>
      <c r="S67" s="1"/>
      <c r="T67" s="1"/>
    </row>
    <row r="68">
      <c r="A68" s="1"/>
      <c r="B68" s="148" t="str">
        <v>BU可控利润</v>
      </c>
      <c r="C68" s="152">
        <f>C62-C65</f>
      </c>
      <c r="D68" s="152">
        <f>D62-D65</f>
      </c>
      <c r="E68" s="152">
        <f>E62-E65</f>
      </c>
      <c r="F68" s="152">
        <f>F62-F65</f>
      </c>
      <c r="G68" s="152">
        <f>G62-G65</f>
      </c>
      <c r="H68" s="152">
        <f>H62-H65</f>
      </c>
      <c r="I68" s="152">
        <f>I62-I65</f>
      </c>
      <c r="J68" s="152">
        <f>J62-J65</f>
      </c>
      <c r="K68" s="152">
        <f>K62-K65</f>
      </c>
      <c r="L68" s="152">
        <f>L62-L65</f>
      </c>
      <c r="M68" s="152">
        <f>M62-M65</f>
      </c>
      <c r="N68" s="152">
        <f>N62-N65</f>
      </c>
      <c r="O68" s="137">
        <f>SUM(C68:N68)</f>
      </c>
      <c r="P68" s="147">
        <f>O68/$O$16</f>
      </c>
      <c r="Q68" s="1"/>
      <c r="R68" s="1"/>
      <c r="S68" s="1"/>
      <c r="T68" s="1"/>
    </row>
    <row r="69">
      <c r="A69" s="1"/>
      <c r="B69" s="151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Q69" s="1"/>
      <c r="R69" s="1"/>
      <c r="S69" s="1"/>
      <c r="T69" s="1"/>
    </row>
    <row r="70">
      <c r="A70" s="1"/>
      <c r="B70" s="149" t="str">
        <v>BU贡献费用</v>
      </c>
      <c r="C70" s="142">
        <v>2800000</v>
      </c>
      <c r="D70" s="142">
        <v>2800000</v>
      </c>
      <c r="E70" s="142">
        <v>2800000</v>
      </c>
      <c r="F70" s="142">
        <v>2800000</v>
      </c>
      <c r="G70" s="142">
        <v>2800000</v>
      </c>
      <c r="H70" s="142">
        <v>2800000</v>
      </c>
      <c r="I70" s="142">
        <v>2800000</v>
      </c>
      <c r="J70" s="142">
        <v>2800000</v>
      </c>
      <c r="K70" s="142">
        <v>2800000</v>
      </c>
      <c r="L70" s="142">
        <v>2800000</v>
      </c>
      <c r="M70" s="142">
        <v>2800000</v>
      </c>
      <c r="N70" s="142">
        <v>2800000</v>
      </c>
      <c r="O70" s="150">
        <f>SUM(C70:N70)</f>
      </c>
      <c r="P70" s="143">
        <f>O70/$O$16</f>
      </c>
      <c r="Q70" s="1"/>
      <c r="R70" s="1"/>
      <c r="S70" s="1"/>
      <c r="T70" s="1"/>
    </row>
    <row r="71">
      <c r="A71" s="1"/>
      <c r="B71" s="148" t="str">
        <v>BU贡献利润</v>
      </c>
      <c r="C71" s="136">
        <f>C68-C70</f>
      </c>
      <c r="D71" s="136">
        <f>D68-D70</f>
      </c>
      <c r="E71" s="136">
        <f>E68-E70</f>
      </c>
      <c r="F71" s="136">
        <f>F68-F70</f>
      </c>
      <c r="G71" s="136">
        <f>G68-G70</f>
      </c>
      <c r="H71" s="136">
        <f>H68-H70</f>
      </c>
      <c r="I71" s="136">
        <f>I68-I70</f>
      </c>
      <c r="J71" s="136">
        <f>J68-J70</f>
      </c>
      <c r="K71" s="136">
        <f>K68-K70</f>
      </c>
      <c r="L71" s="136">
        <f>L68-L70</f>
      </c>
      <c r="M71" s="136">
        <f>M68-M70</f>
      </c>
      <c r="N71" s="136">
        <f>N68-N70</f>
      </c>
      <c r="O71" s="137">
        <f>SUM(C71:N71)</f>
      </c>
      <c r="P71" s="147">
        <f>O71/$O$16</f>
      </c>
      <c r="Q71" s="1"/>
      <c r="R71" s="1"/>
      <c r="S71" s="1"/>
      <c r="T71" s="1"/>
    </row>
    <row r="72">
      <c r="A72" s="1"/>
      <c r="B72" s="141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Q72" s="1"/>
      <c r="R72" s="1"/>
      <c r="S72" s="1"/>
      <c r="T72" s="1"/>
    </row>
    <row r="73">
      <c r="A73" s="1"/>
      <c r="B73" s="145" t="str">
        <v>集团分摊费用</v>
      </c>
      <c r="C73" s="142">
        <v>1200000</v>
      </c>
      <c r="D73" s="142">
        <v>1200000</v>
      </c>
      <c r="E73" s="142">
        <v>1200000</v>
      </c>
      <c r="F73" s="142">
        <v>1200000</v>
      </c>
      <c r="G73" s="142">
        <v>1200000</v>
      </c>
      <c r="H73" s="142">
        <v>1200000</v>
      </c>
      <c r="I73" s="142">
        <v>1200000</v>
      </c>
      <c r="J73" s="142">
        <v>1200000</v>
      </c>
      <c r="K73" s="142">
        <v>1200000</v>
      </c>
      <c r="L73" s="142">
        <v>1200000</v>
      </c>
      <c r="M73" s="142">
        <v>1200000</v>
      </c>
      <c r="N73" s="142">
        <v>1200000</v>
      </c>
      <c r="O73" s="144">
        <f>SUM(C73:N73)</f>
      </c>
      <c r="P73" s="143">
        <f>O73/$O$16</f>
      </c>
      <c r="Q73" s="1"/>
      <c r="R73" s="1"/>
      <c r="S73" s="1"/>
      <c r="T73" s="1"/>
    </row>
    <row r="74">
      <c r="A74" s="1"/>
      <c r="B74" s="141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Q74" s="1"/>
      <c r="R74" s="1"/>
      <c r="S74" s="1"/>
      <c r="T74" s="1"/>
    </row>
    <row r="75">
      <c r="A75" s="1"/>
      <c r="B75" s="138" t="str">
        <v>净利润</v>
      </c>
      <c r="C75" s="136">
        <f>C71-C73</f>
      </c>
      <c r="D75" s="136">
        <f>D71-D73</f>
      </c>
      <c r="E75" s="136">
        <f>E71-E73</f>
      </c>
      <c r="F75" s="136">
        <f>F71-F73</f>
      </c>
      <c r="G75" s="136">
        <f>G71-G73</f>
      </c>
      <c r="H75" s="136">
        <f>H71-H73</f>
      </c>
      <c r="I75" s="136">
        <f>I71-I73</f>
      </c>
      <c r="J75" s="136">
        <f>J71-J73</f>
      </c>
      <c r="K75" s="136">
        <f>K71-K73</f>
      </c>
      <c r="L75" s="136">
        <f>L71-L73</f>
      </c>
      <c r="M75" s="136">
        <f>M71-M73</f>
      </c>
      <c r="N75" s="136">
        <f>N71-N73</f>
      </c>
      <c r="O75" s="137">
        <f>SUM(C75:N75)</f>
      </c>
      <c r="P75" s="139">
        <f>O75/$O$16</f>
      </c>
      <c r="Q75" s="1"/>
      <c r="R75" s="1"/>
      <c r="S75" s="1"/>
      <c r="T75" s="1"/>
    </row>
    <row r="76">
      <c r="A76" s="1"/>
      <c r="B76" s="133" t="str">
        <v>净利润率</v>
      </c>
      <c r="C76" s="132">
        <f>C75/C16</f>
      </c>
      <c r="D76" s="132">
        <f>D75/D16</f>
      </c>
      <c r="E76" s="132">
        <f>E75/E16</f>
      </c>
      <c r="F76" s="132">
        <f>F75/F16</f>
      </c>
      <c r="G76" s="132">
        <f>G75/G16</f>
      </c>
      <c r="H76" s="132">
        <f>H75/H16</f>
      </c>
      <c r="I76" s="132">
        <f>I75/I16</f>
      </c>
      <c r="J76" s="132">
        <f>J75/J16</f>
      </c>
      <c r="K76" s="132">
        <f>K75/K16</f>
      </c>
      <c r="L76" s="132">
        <f>L75/L16</f>
      </c>
      <c r="M76" s="132">
        <f>M75/M16</f>
      </c>
      <c r="N76" s="132">
        <f>N75/N16</f>
      </c>
      <c r="O76" s="132"/>
      <c r="P76" s="134"/>
      <c r="Q76" s="1"/>
      <c r="R76" s="1"/>
      <c r="S76" s="1"/>
      <c r="T76" s="1"/>
    </row>
    <row r="77">
      <c r="A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>
      <c r="A78" s="1"/>
      <c r="B78" s="131" t="str">
        <v>汇总</v>
      </c>
      <c r="C78" s="131" t="str">
        <v>去国补GMV</v>
      </c>
      <c r="D78" s="131" t="str">
        <v>营业收入</v>
      </c>
      <c r="E78" s="130" t="str">
        <v>利润</v>
      </c>
      <c r="F78" s="130" t="str" xml:space="preserve">
        <v> 利润率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>
      <c r="A79" s="1"/>
      <c r="B79" s="121" t="str">
        <v>2026年全年</v>
      </c>
      <c r="C79" s="123">
        <f>O6</f>
      </c>
      <c r="D79" s="124">
        <f>O16</f>
      </c>
      <c r="E79" s="123">
        <f>O75</f>
      </c>
      <c r="F79" s="122">
        <f>E79/D79</f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>
      <c r="A80" s="1"/>
      <c r="B80" s="121" t="str">
        <v>26年H1</v>
      </c>
      <c r="C80" s="123">
        <f>SUM(C6:H6)</f>
      </c>
      <c r="D80" s="124">
        <f>SUM(C16:H16)</f>
      </c>
      <c r="E80" s="123">
        <f>SUM(C75:H75)</f>
      </c>
      <c r="F80" s="122">
        <f>E80/D80</f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>
      <c r="A81" s="1"/>
      <c r="B81" s="121" t="str">
        <v>26年H2</v>
      </c>
      <c r="C81" s="123">
        <f>SUM(I6:N6)</f>
      </c>
      <c r="D81" s="124">
        <f>SUM(I16:N16)</f>
      </c>
      <c r="E81" s="123">
        <f>SUM(I75:N75)</f>
      </c>
      <c r="F81" s="122">
        <f>E81/D81</f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>
      <c r="A84" s="1"/>
      <c r="B84" s="1"/>
      <c r="C84" s="119">
        <f>C16-C18-C20-C26-C37-C44-C49-C60-C62</f>
      </c>
      <c r="D84" s="158">
        <f>D16-D18-D20-D26-D37-D44-D49-D60-D62</f>
      </c>
      <c r="E84" s="158">
        <f>E16-E18-E20-E26-E37-E44-E49-E60-E62</f>
      </c>
      <c r="F84" s="158">
        <f>F16-F18-F20-F26-F37-F44-F49-F60-F62</f>
      </c>
      <c r="G84" s="158">
        <f>G16-G18-G20-G26-G37-G44-G49-G60-G62</f>
      </c>
      <c r="H84" s="158">
        <f>H16-H18-H20-H26-H37-H44-H49-H60-H62</f>
      </c>
      <c r="I84" s="158">
        <f>I16-I18-I20-I26-I37-I44-I49-I60-I62</f>
      </c>
      <c r="J84" s="158">
        <f>J16-J18-J20-J26-J37-J44-J49-J60-J62</f>
      </c>
      <c r="K84" s="158">
        <f>K16-K18-K20-K26-K37-K44-K49-K60-K62</f>
      </c>
      <c r="L84" s="158">
        <f>L16-L18-L20-L26-L37-L44-L49-L60-L62</f>
      </c>
      <c r="M84" s="158">
        <f>M16-M18-M20-M26-M37-M44-M49-M60-M62</f>
      </c>
      <c r="N84" s="158">
        <f>N16-N18-N20-N26-N37-N44-N49-N60-N62</f>
      </c>
      <c r="O84" s="158">
        <f>O16-O18-O20-O26-O37-O44-O49-O60-O62</f>
      </c>
      <c r="P84" s="1"/>
      <c r="Q84" s="1"/>
      <c r="R84" s="1"/>
      <c r="S84" s="1"/>
      <c r="T84" s="1"/>
    </row>
    <row r="85">
      <c r="A85" s="1"/>
      <c r="B85" s="1"/>
      <c r="C85" s="119">
        <f>C10-C11-C12-C13-C15</f>
      </c>
      <c r="D85" s="119">
        <f>D10-D11-D12-D13-D15</f>
      </c>
      <c r="E85" s="119">
        <f>E10-E11-E12-E13-E15</f>
      </c>
      <c r="F85" s="119">
        <f>F10-F11-F12-F13-F15</f>
      </c>
      <c r="G85" s="119">
        <f>G10-G11-G12-G13-G15</f>
      </c>
      <c r="H85" s="119">
        <f>H10-H11-H12-H13-H15</f>
      </c>
      <c r="I85" s="119">
        <f>I10-I11-I12-I13-I15</f>
      </c>
      <c r="J85" s="119">
        <f>J10-J11-J12-J13-J15</f>
      </c>
      <c r="K85" s="119">
        <f>K10-K11-K12-K13-K15</f>
      </c>
      <c r="L85" s="119">
        <f>L10-L11-L12-L13-L15</f>
      </c>
      <c r="M85" s="119">
        <f>M10-M11-M12-M13-M15</f>
      </c>
      <c r="N85" s="119">
        <f>N10-N11-N12-N13-N15</f>
      </c>
      <c r="O85" s="119">
        <f>O10-O11-O12-O13-O15</f>
      </c>
      <c r="P85" s="1"/>
      <c r="Q85" s="1"/>
      <c r="R85" s="1"/>
      <c r="S85" s="1"/>
      <c r="T85" s="1"/>
    </row>
    <row r="86">
      <c r="A86" s="1"/>
      <c r="B86" s="158"/>
      <c r="C86" s="158">
        <f>C62-'淘系'!C60-'淘系达播'!C60-'抖音'!C60-'抖音达播'!C60-'快手'!C60-'京东POP财经口径'!C60-'京东自营财经口径'!C60-PDD!C60-'得物'!C60-'视频号+官网+小程序'!C60-'唯品会'!C60-'线下门店-直营'!C60-'线下门店-经销'!C60-'线下渠道'!C60</f>
      </c>
      <c r="D86" s="158">
        <f>D62-'淘系'!D60-'淘系达播'!D60-'抖音'!D60-'抖音达播'!D60-'快手'!D60-'京东POP财经口径'!D60-'京东自营财经口径'!D60-PDD!D60-'得物'!D60-'视频号+官网+小程序'!D60-'唯品会'!D60-'线下门店-直营'!D60-'线下门店-经销'!D60-'线下渠道'!D60</f>
      </c>
      <c r="E86" s="158">
        <f>E62-'淘系'!E60-'淘系达播'!E60-'抖音'!E60-'抖音达播'!E60-'快手'!E60-'京东POP财经口径'!E60-'京东自营财经口径'!E60-PDD!E60-'得物'!E60-'视频号+官网+小程序'!E60-'唯品会'!E60-'线下门店-直营'!E60-'线下门店-经销'!E60-'线下渠道'!E60</f>
      </c>
      <c r="F86" s="158">
        <f>F62-'淘系'!F60-'淘系达播'!F60-'抖音'!F60-'抖音达播'!F60-'快手'!F60-'京东POP财经口径'!F60-'京东自营财经口径'!F60-PDD!F60-'得物'!F60-'视频号+官网+小程序'!F60-'唯品会'!F60-'线下门店-直营'!F60-'线下门店-经销'!F60-'线下渠道'!F60</f>
      </c>
      <c r="G86" s="158">
        <f>G62-'淘系'!G60-'淘系达播'!G60-'抖音'!G60-'抖音达播'!G60-'快手'!G60-'京东POP财经口径'!G60-'京东自营财经口径'!G60-PDD!G60-'得物'!G60-'视频号+官网+小程序'!G60-'唯品会'!G60-'线下门店-直营'!G60-'线下门店-经销'!G60-'线下渠道'!G60</f>
      </c>
      <c r="H86" s="158">
        <f>H62-'淘系'!H60-'淘系达播'!H60-'抖音'!H60-'抖音达播'!H60-'快手'!H60-'京东POP财经口径'!H60-'京东自营财经口径'!H60-PDD!H60-'得物'!H60-'视频号+官网+小程序'!H60-'唯品会'!H60-'线下门店-直营'!H60-'线下门店-经销'!H60-'线下渠道'!H60</f>
      </c>
      <c r="I86" s="158">
        <f>I62-'淘系'!I60-'淘系达播'!I60-'抖音'!I60-'抖音达播'!I60-'快手'!I60-'京东POP财经口径'!I60-'京东自营财经口径'!I60-PDD!I60-'得物'!I60-'视频号+官网+小程序'!I60-'唯品会'!I60-'线下门店-直营'!I60-'线下门店-经销'!I60-'线下渠道'!I60</f>
      </c>
      <c r="J86" s="158">
        <f>J62-'淘系'!J60-'淘系达播'!J60-'抖音'!J60-'抖音达播'!J60-'快手'!J60-'京东POP财经口径'!J60-'京东自营财经口径'!J60-PDD!J60-'得物'!J60-'视频号+官网+小程序'!J60-'唯品会'!J60-'线下门店-直营'!J60-'线下门店-经销'!J60-'线下渠道'!J60</f>
      </c>
      <c r="K86" s="158">
        <f>K62-'淘系'!K60-'淘系达播'!K60-'抖音'!K60-'抖音达播'!K60-'快手'!K60-'京东POP财经口径'!K60-'京东自营财经口径'!K60-PDD!K60-'得物'!K60-'视频号+官网+小程序'!K60-'唯品会'!K60-'线下门店-直营'!K60-'线下门店-经销'!K60-'线下渠道'!K60</f>
      </c>
      <c r="L86" s="158">
        <f>L62-'淘系'!L60-'淘系达播'!L60-'抖音'!L60-'抖音达播'!L60-'快手'!L60-'京东POP财经口径'!L60-'京东自营财经口径'!L60-PDD!L60-'得物'!L60-'视频号+官网+小程序'!L60-'唯品会'!L60-'线下门店-直营'!L60-'线下门店-经销'!L60-'线下渠道'!L60</f>
      </c>
      <c r="M86" s="158">
        <f>M62-'淘系'!M60-'淘系达播'!M60-'抖音'!M60-'抖音达播'!M60-'快手'!M60-'京东POP财经口径'!M60-'京东自营财经口径'!M60-PDD!M60-'得物'!M60-'视频号+官网+小程序'!M60-'唯品会'!M60-'线下门店-直营'!M60-'线下门店-经销'!M60-'线下渠道'!M60</f>
      </c>
      <c r="N86" s="158">
        <f>N62-'淘系'!N60-'淘系达播'!N60-'抖音'!N60-'抖音达播'!N60-'快手'!N60-'京东POP财经口径'!N60-'京东自营财经口径'!N60-PDD!N60-'得物'!N60-'视频号+官网+小程序'!N60-'唯品会'!N60-'线下门店-直营'!N60-'线下门店-经销'!N60-'线下渠道'!N60</f>
      </c>
      <c r="O86" s="158">
        <f>O62-'淘系'!O60-'淘系达播'!O60-'抖音'!O60-'抖音达播'!O60-'快手'!O60-'京东POP财经口径'!O60-'京东自营财经口径'!O60-PDD!O60-'得物'!O60-'视频号+官网+小程序'!O60-'唯品会'!O60-'线下门店-直营'!O60-'线下门店-经销'!O60-'线下渠道'!O60</f>
      </c>
      <c r="P86" s="1"/>
      <c r="Q86" s="1"/>
      <c r="R86" s="1"/>
      <c r="S86" s="1"/>
      <c r="T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>
      <c r="A94" s="1"/>
      <c r="B94" s="129" t="str">
        <v>品牌及内容费用</v>
      </c>
      <c r="C94" s="129">
        <v>590816.1061946903</v>
      </c>
      <c r="D94" s="129">
        <v>1555478.5791543757</v>
      </c>
      <c r="E94" s="129">
        <v>2581397.188790561</v>
      </c>
      <c r="F94" s="129">
        <v>1541409.8141592925</v>
      </c>
      <c r="G94" s="129">
        <v>6001680.8185840715</v>
      </c>
      <c r="H94" s="129">
        <v>3561493.4657079643</v>
      </c>
      <c r="I94" s="129">
        <v>824897.7035398232</v>
      </c>
      <c r="J94" s="129">
        <v>1275088.216814159</v>
      </c>
      <c r="K94" s="129">
        <v>1059422.3318584068</v>
      </c>
      <c r="L94" s="129">
        <v>3244700.9707857985</v>
      </c>
      <c r="M94" s="129">
        <v>1405007.9768632057</v>
      </c>
      <c r="N94" s="129">
        <v>917198.1602516262</v>
      </c>
      <c r="O94" s="129">
        <v>24558591.332703978</v>
      </c>
      <c r="P94" s="128">
        <v>0.06159487030185407</v>
      </c>
      <c r="Q94" s="1"/>
      <c r="R94" s="1"/>
      <c r="S94" s="1"/>
      <c r="T94" s="1"/>
    </row>
    <row r="95">
      <c r="A95" s="1"/>
      <c r="B95" s="117" t="str">
        <v>展会</v>
      </c>
      <c r="C95" s="117">
        <v>0</v>
      </c>
      <c r="D95" s="117">
        <v>0</v>
      </c>
      <c r="E95" s="117">
        <v>64814.26745329402</v>
      </c>
      <c r="F95" s="117">
        <v>54155.07374631271</v>
      </c>
      <c r="G95" s="117">
        <v>115388.16371681416</v>
      </c>
      <c r="H95" s="117">
        <v>101584.80199115047</v>
      </c>
      <c r="I95" s="117">
        <v>65500.287610619496</v>
      </c>
      <c r="J95" s="117">
        <v>90329.93362831855</v>
      </c>
      <c r="K95" s="117">
        <v>72053.16371681415</v>
      </c>
      <c r="L95" s="117">
        <v>121420.23883143195</v>
      </c>
      <c r="M95" s="117">
        <v>91985.61360486197</v>
      </c>
      <c r="N95" s="117">
        <v>0</v>
      </c>
      <c r="O95" s="117">
        <v>777231.5442996175</v>
      </c>
      <c r="P95" s="120">
        <v>0.001949357579882562</v>
      </c>
      <c r="Q95" s="1"/>
      <c r="R95" s="1"/>
      <c r="S95" s="1"/>
      <c r="T95" s="1"/>
    </row>
    <row r="96">
      <c r="A96" s="1"/>
      <c r="B96" s="117" t="str">
        <v>品牌营销</v>
      </c>
      <c r="C96" s="117">
        <v>209195</v>
      </c>
      <c r="D96" s="117">
        <v>209195</v>
      </c>
      <c r="E96" s="117">
        <v>209195</v>
      </c>
      <c r="F96" s="117">
        <v>274181.0884955753</v>
      </c>
      <c r="G96" s="117">
        <v>901523.9823008858</v>
      </c>
      <c r="H96" s="117">
        <v>534266.3663716814</v>
      </c>
      <c r="I96" s="117">
        <v>209195</v>
      </c>
      <c r="J96" s="117">
        <v>317590.9203539823</v>
      </c>
      <c r="K96" s="117">
        <v>439765.12389380526</v>
      </c>
      <c r="L96" s="117">
        <v>354899.28659771837</v>
      </c>
      <c r="M96" s="117">
        <v>319577.73632583447</v>
      </c>
      <c r="N96" s="117">
        <v>209195</v>
      </c>
      <c r="O96" s="117">
        <v>4187779.504339483</v>
      </c>
      <c r="P96" s="120">
        <v>0.010503278951470404</v>
      </c>
      <c r="Q96" s="1"/>
      <c r="R96" s="1"/>
      <c r="S96" s="1"/>
      <c r="T96" s="1"/>
    </row>
    <row r="97">
      <c r="A97" s="1"/>
      <c r="B97" s="117" t="str">
        <v>内容素材制作</v>
      </c>
      <c r="C97" s="117">
        <v>31801.758849557526</v>
      </c>
      <c r="D97" s="117">
        <v>25890.068829891843</v>
      </c>
      <c r="E97" s="117">
        <v>25925.706981317602</v>
      </c>
      <c r="F97" s="117">
        <v>108310.14749262542</v>
      </c>
      <c r="G97" s="117">
        <v>692328.9823008849</v>
      </c>
      <c r="H97" s="117">
        <v>446973.1287610621</v>
      </c>
      <c r="I97" s="117">
        <v>0</v>
      </c>
      <c r="J97" s="117">
        <v>108395.92035398229</v>
      </c>
      <c r="K97" s="117">
        <v>230570.1238938053</v>
      </c>
      <c r="L97" s="117">
        <v>242840.4776628639</v>
      </c>
      <c r="M97" s="117">
        <v>183971.22720972393</v>
      </c>
      <c r="N97" s="117">
        <v>32181.961829619366</v>
      </c>
      <c r="O97" s="117">
        <v>2129189.5041653346</v>
      </c>
      <c r="P97" s="120">
        <v>0.00534017401814443</v>
      </c>
      <c r="Q97" s="1"/>
      <c r="R97" s="1"/>
      <c r="S97" s="1"/>
      <c r="T97" s="1"/>
    </row>
    <row r="98">
      <c r="A98" s="1"/>
      <c r="B98" s="117" t="str">
        <v>公关费用</v>
      </c>
      <c r="C98" s="117">
        <v>31801.758849557526</v>
      </c>
      <c r="D98" s="117">
        <v>25890.068829891843</v>
      </c>
      <c r="E98" s="117">
        <v>207405.65585054082</v>
      </c>
      <c r="F98" s="117">
        <v>21662.029498525084</v>
      </c>
      <c r="G98" s="117">
        <v>138465.79646017702</v>
      </c>
      <c r="H98" s="117">
        <v>40633.92079646019</v>
      </c>
      <c r="I98" s="117">
        <v>26200.115044247796</v>
      </c>
      <c r="J98" s="117">
        <v>36131.973451327445</v>
      </c>
      <c r="K98" s="117">
        <v>28821.265486725664</v>
      </c>
      <c r="L98" s="117">
        <v>97136.19106514555</v>
      </c>
      <c r="M98" s="117">
        <v>73588.49088388958</v>
      </c>
      <c r="N98" s="117">
        <v>32181.961829619366</v>
      </c>
      <c r="O98" s="117">
        <v>759919.2280461078</v>
      </c>
      <c r="P98" s="120">
        <v>0.0019059369349516948</v>
      </c>
      <c r="Q98" s="1"/>
      <c r="R98" s="1"/>
      <c r="S98" s="1"/>
      <c r="T98" s="1"/>
    </row>
    <row r="99">
      <c r="A99" s="1"/>
      <c r="B99" s="117" t="str">
        <v>达人种草、样机及加热</v>
      </c>
      <c r="C99" s="117">
        <v>318017.5884955753</v>
      </c>
      <c r="D99" s="117">
        <v>1294503.441494592</v>
      </c>
      <c r="E99" s="117">
        <v>2074056.5585054087</v>
      </c>
      <c r="F99" s="117">
        <v>1083101.474926254</v>
      </c>
      <c r="G99" s="117">
        <v>4153973.893805309</v>
      </c>
      <c r="H99" s="117">
        <v>2438035.24778761</v>
      </c>
      <c r="I99" s="117">
        <v>524002.30088495597</v>
      </c>
      <c r="J99" s="117">
        <v>722639.4690265484</v>
      </c>
      <c r="K99" s="117">
        <v>288212.6548672566</v>
      </c>
      <c r="L99" s="117">
        <v>2428404.7766286386</v>
      </c>
      <c r="M99" s="117">
        <v>735884.9088388957</v>
      </c>
      <c r="N99" s="117">
        <v>643639.2365923874</v>
      </c>
      <c r="O99" s="117">
        <v>16704471.551853433</v>
      </c>
      <c r="P99" s="120">
        <v>0.04189612281740498</v>
      </c>
      <c r="Q99" s="1"/>
      <c r="R99" s="1"/>
      <c r="S99" s="1"/>
      <c r="T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</sheetData>
  <legacyDrawing r:id="rId1"/>
  <picture r:id="rId3"/>
</worksheet>
</file>

<file path=xl/worksheets/sheet7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3" xSplit="2" ySplit="2"/>
    </sheetView>
  </sheetViews>
  <sheetFormatPr defaultColWidth="14" defaultRowHeight="19"/>
  <cols>
    <col collapsed="false" customWidth="true" hidden="false" max="1" min="1" style="0" width="4"/>
    <col collapsed="false" customWidth="true" hidden="false" max="2" min="2" style="0" width="20"/>
    <col collapsed="false" customWidth="true" hidden="false" max="3" min="3" style="0" width="16"/>
    <col collapsed="false" customWidth="true" hidden="false" max="4" min="4" style="0" width="16"/>
    <col collapsed="false" customWidth="true" hidden="false" max="5" min="5" style="0" width="16"/>
    <col collapsed="false" customWidth="true" hidden="false" max="6" min="6" style="0" width="16"/>
    <col collapsed="false" customWidth="true" hidden="false" max="7" min="7" style="0" width="16"/>
    <col collapsed="false" customWidth="true" hidden="false" max="8" min="8" style="0" width="16"/>
    <col collapsed="false" customWidth="true" hidden="false" max="9" min="9" style="0" width="16"/>
    <col collapsed="false" customWidth="true" hidden="false" max="10" min="10" style="0" width="16"/>
    <col collapsed="false" customWidth="true" hidden="false" max="11" min="11" style="0" width="16"/>
    <col collapsed="false" customWidth="true" hidden="false" max="12" min="12" style="0" width="16"/>
    <col collapsed="false" customWidth="true" hidden="false" max="13" min="13" style="0" width="16"/>
    <col collapsed="false" customWidth="true" hidden="false" max="14" min="14" style="0" width="16"/>
    <col collapsed="false" customWidth="true" hidden="false" max="15" min="15" style="0" width="16"/>
    <col collapsed="false" customWidth="true" hidden="false" max="16" min="16" style="0" width="16"/>
    <col collapsed="false" customWidth="true" hidden="false" max="17" min="17" style="0" width="16"/>
    <col collapsed="false" customWidth="true" hidden="false" max="18" min="18" style="0" width="14"/>
    <col collapsed="false" customWidth="true" hidden="false" max="19" min="19" style="0" width="11"/>
    <col collapsed="false" customWidth="true" hidden="false" max="20" min="20" style="0" width="11"/>
    <col collapsed="false" customWidth="true" hidden="false" max="21" min="21" style="0" width="11"/>
    <col collapsed="false" customWidth="true" hidden="false" max="22" min="22" style="0" width="11"/>
    <col collapsed="false" customWidth="true" hidden="false" max="23" min="23" style="0" width="11"/>
  </cols>
  <sheetData>
    <row r="1">
      <c r="A1" s="1"/>
      <c r="B1" s="109" t="str">
        <v>Items</v>
      </c>
      <c r="C1" s="108" t="str">
        <v>1月</v>
      </c>
      <c r="D1" s="108"/>
      <c r="E1" s="108" t="str">
        <v>2月</v>
      </c>
      <c r="F1" s="108" t="str">
        <v>3月</v>
      </c>
      <c r="G1" s="108" t="str">
        <v>4月</v>
      </c>
      <c r="H1" s="108" t="str">
        <v>5月</v>
      </c>
      <c r="I1" s="108" t="str">
        <v>6月</v>
      </c>
      <c r="J1" s="108" t="str">
        <v>7月</v>
      </c>
      <c r="K1" s="108" t="str">
        <v>8月</v>
      </c>
      <c r="L1" s="108" t="str">
        <v>9月</v>
      </c>
      <c r="M1" s="108" t="str">
        <v>10月</v>
      </c>
      <c r="N1" s="108" t="str">
        <v>11月</v>
      </c>
      <c r="O1" s="108" t="str">
        <v>12月</v>
      </c>
      <c r="P1" s="108" t="str">
        <v>合计 1-12月</v>
      </c>
      <c r="Q1" s="108" t="str">
        <v>费比</v>
      </c>
      <c r="R1" s="156" t="str">
        <v>备注</v>
      </c>
      <c r="S1" s="1"/>
      <c r="T1" s="1"/>
      <c r="U1" s="1"/>
    </row>
    <row r="2">
      <c r="A2" s="1"/>
      <c r="B2" s="90" t="str">
        <v>退后销量</v>
      </c>
      <c r="C2" s="94">
        <f>'淘系'!C2+'抖音'!C2+PDD!C2+'得物'!C2+'京东自营财经口径'!C2+'京东POP财经口径'!C2+'视频号+官网+小程序'!C2+'快手'!C2+'唯品会'!C2+'线下门店-直营'!C2+'线下门店-经销'!C2+'线下渠道'!C2+'淘系达播'!C2+'抖音达播'!C2</f>
      </c>
      <c r="D2" s="94"/>
      <c r="E2" s="94">
        <f>'淘系'!D2+'抖音'!D2+PDD!D2+'得物'!D2+'京东自营财经口径'!D2+'京东POP财经口径'!D2+'视频号+官网+小程序'!D2+'快手'!D2+'唯品会'!D2+'线下门店-直营'!D2+'线下门店-经销'!D2+'线下渠道'!D2+'淘系达播'!D2+'抖音达播'!D2</f>
      </c>
      <c r="F2" s="94">
        <f>'淘系'!E2+'抖音'!E2+PDD!E2+'得物'!E2+'京东自营财经口径'!E2+'京东POP财经口径'!E2+'视频号+官网+小程序'!E2+'快手'!E2+'唯品会'!E2+'线下门店-直营'!E2+'线下门店-经销'!E2+'线下渠道'!E2+'淘系达播'!E2+'抖音达播'!E2</f>
      </c>
      <c r="G2" s="94">
        <f>'淘系'!F2+'抖音'!F2+PDD!F2+'得物'!F2+'京东自营财经口径'!F2+'京东POP财经口径'!F2+'视频号+官网+小程序'!F2+'快手'!F2+'唯品会'!F2+'线下门店-直营'!F2+'线下门店-经销'!F2+'线下渠道'!F2+'淘系达播'!F2+'抖音达播'!F2</f>
      </c>
      <c r="H2" s="94">
        <f>'淘系'!G2+'抖音'!G2+PDD!G2+'得物'!G2+'京东自营财经口径'!G2+'京东POP财经口径'!G2+'视频号+官网+小程序'!G2+'快手'!G2+'唯品会'!G2+'线下门店-直营'!G2+'线下门店-经销'!G2+'线下渠道'!G2+'淘系达播'!G2+'抖音达播'!G2</f>
      </c>
      <c r="I2" s="94">
        <f>'淘系'!H2+'抖音'!H2+PDD!H2+'得物'!H2+'京东自营财经口径'!H2+'京东POP财经口径'!H2+'视频号+官网+小程序'!H2+'快手'!H2+'唯品会'!H2+'线下门店-直营'!H2+'线下门店-经销'!H2+'线下渠道'!H2+'淘系达播'!H2+'抖音达播'!H2</f>
      </c>
      <c r="J2" s="94">
        <f>'淘系'!I2+'抖音'!I2+PDD!I2+'得物'!I2+'京东自营财经口径'!I2+'京东POP财经口径'!I2+'视频号+官网+小程序'!I2+'快手'!I2+'唯品会'!I2+'线下门店-直营'!I2+'线下门店-经销'!I2+'线下渠道'!I2+'淘系达播'!I2+'抖音达播'!I2</f>
      </c>
      <c r="K2" s="94">
        <f>'淘系'!J2+'抖音'!J2+PDD!J2+'得物'!J2+'京东自营财经口径'!J2+'京东POP财经口径'!J2+'视频号+官网+小程序'!J2+'快手'!J2+'唯品会'!J2+'线下门店-直营'!J2+'线下门店-经销'!J2+'线下渠道'!J2+'淘系达播'!J2+'抖音达播'!J2</f>
      </c>
      <c r="L2" s="94">
        <f>'淘系'!K2+'抖音'!K2+PDD!K2+'得物'!K2+'京东自营财经口径'!K2+'京东POP财经口径'!K2+'视频号+官网+小程序'!K2+'快手'!K2+'唯品会'!K2+'线下门店-直营'!K2+'线下门店-经销'!K2+'线下渠道'!K2+'淘系达播'!K2+'抖音达播'!K2</f>
      </c>
      <c r="M2" s="94">
        <f>'淘系'!L2+'抖音'!L2+PDD!L2+'得物'!L2+'京东自营财经口径'!L2+'京东POP财经口径'!L2+'视频号+官网+小程序'!L2+'快手'!L2+'唯品会'!L2+'线下门店-直营'!L2+'线下门店-经销'!L2+'线下渠道'!L2+'淘系达播'!L2+'抖音达播'!L2</f>
      </c>
      <c r="N2" s="94">
        <f>'淘系'!M2+'抖音'!M2+PDD!M2+'得物'!M2+'京东自营财经口径'!M2+'京东POP财经口径'!M2+'视频号+官网+小程序'!M2+'快手'!M2+'唯品会'!M2+'线下门店-直营'!M2+'线下门店-经销'!M2+'线下渠道'!M2+'淘系达播'!M2+'抖音达播'!M2</f>
      </c>
      <c r="O2" s="94">
        <f>'淘系'!N2+'抖音'!N2+PDD!N2+'得物'!N2+'京东自营财经口径'!N2+'京东POP财经口径'!N2+'视频号+官网+小程序'!N2+'快手'!N2+'唯品会'!N2+'线下门店-直营'!N2+'线下门店-经销'!N2+'线下渠道'!N2+'淘系达播'!N2+'抖音达播'!N2</f>
      </c>
      <c r="P2" s="118">
        <f>SUM(C2:O2)</f>
      </c>
      <c r="Q2" s="118"/>
      <c r="R2" s="1"/>
      <c r="U2" s="15"/>
      <c r="V2" s="15"/>
    </row>
    <row r="3">
      <c r="A3" s="135"/>
      <c r="B3" s="94" t="str">
        <v>自补前GMV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>
        <f>SUM(C3:O3)</f>
      </c>
      <c r="Q3" s="94"/>
      <c r="R3" s="146" t="str">
        <v>渠道填写</v>
      </c>
      <c r="S3" s="1"/>
      <c r="T3" s="1"/>
      <c r="U3" s="1"/>
    </row>
    <row customHeight="true" ht="20" r="4">
      <c r="A4" s="135"/>
      <c r="B4" s="94" t="str">
        <v>自补前GSV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>
        <f>SUM(C4:O4)</f>
      </c>
      <c r="Q4" s="94"/>
      <c r="R4" s="146" t="str">
        <v>渠道填写</v>
      </c>
      <c r="S4" s="1"/>
      <c r="T4" s="1"/>
      <c r="U4" s="7"/>
      <c r="V4" s="70"/>
      <c r="W4" s="70"/>
    </row>
    <row r="5">
      <c r="A5" s="135"/>
      <c r="B5" s="94" t="str">
        <v>国补自补费用</v>
      </c>
      <c r="C5" s="94">
        <f>'淘系'!C5+'抖音'!C5+PDD!C5+'得物'!C5+'京东自营财经口径'!C5+'京东POP财经口径'!C5+'视频号+官网+小程序'!C5+'快手'!C5+'唯品会'!C5+'线下门店-直营'!C5+'线下门店-经销'!C5+'线下渠道'!C5+'淘系达播'!C5+'抖音达播'!C5</f>
      </c>
      <c r="D5" s="94"/>
      <c r="E5" s="94">
        <f>'淘系'!D5+'抖音'!D5+PDD!D5+'得物'!D5+'京东自营财经口径'!D5+'京东POP财经口径'!D5+'视频号+官网+小程序'!D5+'快手'!D5+'唯品会'!D5+'线下门店-直营'!D5+'线下门店-经销'!D5+'线下渠道'!D5+'淘系达播'!D5+'抖音达播'!D5</f>
      </c>
      <c r="F5" s="94">
        <f>'淘系'!E5+'抖音'!E5+PDD!E5+'得物'!E5+'京东自营财经口径'!E5+'京东POP财经口径'!E5+'视频号+官网+小程序'!E5+'快手'!E5+'唯品会'!E5+'线下门店-直营'!E5+'线下门店-经销'!E5+'线下渠道'!E5+'淘系达播'!E5+'抖音达播'!E5</f>
      </c>
      <c r="G5" s="94">
        <f>'淘系'!F5+'抖音'!F5+PDD!F5+'得物'!F5+'京东自营财经口径'!F5+'京东POP财经口径'!F5+'视频号+官网+小程序'!F5+'快手'!F5+'唯品会'!F5+'线下门店-直营'!F5+'线下门店-经销'!F5+'线下渠道'!F5+'淘系达播'!F5+'抖音达播'!F5</f>
      </c>
      <c r="H5" s="94">
        <f>'淘系'!G5+'抖音'!G5+PDD!G5+'得物'!G5+'京东自营财经口径'!G5+'京东POP财经口径'!G5+'视频号+官网+小程序'!G5+'快手'!G5+'唯品会'!G5+'线下门店-直营'!G5+'线下门店-经销'!G5+'线下渠道'!G5+'淘系达播'!G5+'抖音达播'!G5</f>
      </c>
      <c r="I5" s="94">
        <f>'淘系'!H5+'抖音'!H5+PDD!H5+'得物'!H5+'京东自营财经口径'!H5+'京东POP财经口径'!H5+'视频号+官网+小程序'!H5+'快手'!H5+'唯品会'!H5+'线下门店-直营'!H5+'线下门店-经销'!H5+'线下渠道'!H5+'淘系达播'!H5+'抖音达播'!H5</f>
      </c>
      <c r="J5" s="94">
        <f>'淘系'!I5+'抖音'!I5+PDD!I5+'得物'!I5+'京东自营财经口径'!I5+'京东POP财经口径'!I5+'视频号+官网+小程序'!I5+'快手'!I5+'唯品会'!I5+'线下门店-直营'!I5+'线下门店-经销'!I5+'线下渠道'!I5+'淘系达播'!I5+'抖音达播'!I5</f>
      </c>
      <c r="K5" s="94">
        <f>'淘系'!J5+'抖音'!J5+PDD!J5+'得物'!J5+'京东自营财经口径'!J5+'京东POP财经口径'!J5+'视频号+官网+小程序'!J5+'快手'!J5+'唯品会'!J5+'线下门店-直营'!J5+'线下门店-经销'!J5+'线下渠道'!J5+'淘系达播'!J5+'抖音达播'!J5</f>
      </c>
      <c r="L5" s="94">
        <f>'淘系'!K5+'抖音'!K5+PDD!K5+'得物'!K5+'京东自营财经口径'!K5+'京东POP财经口径'!K5+'视频号+官网+小程序'!K5+'快手'!K5+'唯品会'!K5+'线下门店-直营'!K5+'线下门店-经销'!K5+'线下渠道'!K5+'淘系达播'!K5+'抖音达播'!K5</f>
      </c>
      <c r="M5" s="94">
        <f>'淘系'!L5+'抖音'!L5+PDD!L5+'得物'!L5+'京东自营财经口径'!L5+'京东POP财经口径'!L5+'视频号+官网+小程序'!L5+'快手'!L5+'唯品会'!L5+'线下门店-直营'!L5+'线下门店-经销'!L5+'线下渠道'!L5+'淘系达播'!L5+'抖音达播'!L5</f>
      </c>
      <c r="N5" s="94">
        <f>'淘系'!M5+'抖音'!M5+PDD!M5+'得物'!M5+'京东自营财经口径'!M5+'京东POP财经口径'!M5+'视频号+官网+小程序'!M5+'快手'!M5+'唯品会'!M5+'线下门店-直营'!M5+'线下门店-经销'!M5+'线下渠道'!M5+'淘系达播'!M5+'抖音达播'!M5</f>
      </c>
      <c r="O5" s="94">
        <f>'淘系'!N5+'抖音'!N5+PDD!N5+'得物'!N5+'京东自营财经口径'!N5+'京东POP财经口径'!N5+'视频号+官网+小程序'!N5+'快手'!N5+'唯品会'!N5+'线下门店-直营'!N5+'线下门店-经销'!N5+'线下渠道'!N5+'淘系达播'!N5+'抖音达播'!N5</f>
      </c>
      <c r="P5" s="94">
        <f>SUM(C5:O5)</f>
      </c>
      <c r="Q5" s="94"/>
      <c r="R5" s="146" t="str">
        <v>渠道填写</v>
      </c>
      <c r="S5" s="1"/>
      <c r="T5" s="1"/>
      <c r="U5" s="7"/>
      <c r="V5" s="70"/>
      <c r="W5" s="70"/>
    </row>
    <row r="6">
      <c r="A6" s="135"/>
      <c r="B6" s="98" t="str">
        <v>GMV（国补后）</v>
      </c>
      <c r="C6" s="98">
        <f>'淘系'!C6+'抖音'!C6+PDD!C6+'得物'!C6+'京东自营财经口径'!C6+'京东POP财经口径'!C6+'视频号+官网+小程序'!C6+'快手'!C6+'唯品会'!C6+'线下门店-直营'!C6++'线下门店-经销'!C6+'线下渠道'!C6+'淘系达播'!C6+'抖音达播'!C6</f>
      </c>
      <c r="D6" s="98"/>
      <c r="E6" s="98">
        <f>'淘系'!D6+'抖音'!D6+PDD!D6+'得物'!D6+'京东自营财经口径'!D6+'京东POP财经口径'!D6+'视频号+官网+小程序'!D6+'快手'!D6+'唯品会'!D6+'线下门店-直营'!D6++'线下门店-经销'!D6+'线下渠道'!D6+'淘系达播'!D6+'抖音达播'!D6</f>
      </c>
      <c r="F6" s="98">
        <f>'淘系'!E6+'抖音'!E6+PDD!E6+'得物'!E6+'京东自营财经口径'!E6+'京东POP财经口径'!E6+'视频号+官网+小程序'!E6+'快手'!E6+'唯品会'!E6+'线下门店-直营'!E6++'线下门店-经销'!E6+'线下渠道'!E6+'淘系达播'!E6+'抖音达播'!E6</f>
      </c>
      <c r="G6" s="98">
        <f>'淘系'!F6+'抖音'!F6+PDD!F6+'得物'!F6+'京东自营财经口径'!F6+'京东POP财经口径'!F6+'视频号+官网+小程序'!F6+'快手'!F6+'唯品会'!F6+'线下门店-直营'!F6++'线下门店-经销'!F6+'线下渠道'!F6+'淘系达播'!F6+'抖音达播'!F6</f>
      </c>
      <c r="H6" s="98">
        <f>'淘系'!G6+'抖音'!G6+PDD!G6+'得物'!G6+'京东自营财经口径'!G6+'京东POP财经口径'!G6+'视频号+官网+小程序'!G6+'快手'!G6+'唯品会'!G6+'线下门店-直营'!G6++'线下门店-经销'!G6+'线下渠道'!G6+'淘系达播'!G6+'抖音达播'!G6</f>
      </c>
      <c r="I6" s="98">
        <f>'淘系'!H6+'抖音'!H6+PDD!H6+'得物'!H6+'京东自营财经口径'!H6+'京东POP财经口径'!H6+'视频号+官网+小程序'!H6+'快手'!H6+'唯品会'!H6+'线下门店-直营'!H6++'线下门店-经销'!H6+'线下渠道'!H6+'淘系达播'!H6+'抖音达播'!H6</f>
      </c>
      <c r="J6" s="98">
        <f>'淘系'!I6+'抖音'!I6+PDD!I6+'得物'!I6+'京东自营财经口径'!I6+'京东POP财经口径'!I6+'视频号+官网+小程序'!I6+'快手'!I6+'唯品会'!I6+'线下门店-直营'!I6++'线下门店-经销'!I6+'线下渠道'!I6+'淘系达播'!I6+'抖音达播'!I6</f>
      </c>
      <c r="K6" s="98">
        <f>'淘系'!J6+'抖音'!J6+PDD!J6+'得物'!J6+'京东自营财经口径'!J6+'京东POP财经口径'!J6+'视频号+官网+小程序'!J6+'快手'!J6+'唯品会'!J6+'线下门店-直营'!J6++'线下门店-经销'!J6+'线下渠道'!J6+'淘系达播'!J6+'抖音达播'!J6</f>
      </c>
      <c r="L6" s="98">
        <f>'淘系'!K6+'抖音'!K6+PDD!K6+'得物'!K6+'京东自营财经口径'!K6+'京东POP财经口径'!K6+'视频号+官网+小程序'!K6+'快手'!K6+'唯品会'!K6+'线下门店-直营'!K6++'线下门店-经销'!K6+'线下渠道'!K6+'淘系达播'!K6+'抖音达播'!K6</f>
      </c>
      <c r="M6" s="98">
        <f>'淘系'!L6+'抖音'!L6+PDD!L6+'得物'!L6+'京东自营财经口径'!L6+'京东POP财经口径'!L6+'视频号+官网+小程序'!L6+'快手'!L6+'唯品会'!L6+'线下门店-直营'!L6++'线下门店-经销'!L6+'线下渠道'!L6+'淘系达播'!L6+'抖音达播'!L6</f>
      </c>
      <c r="N6" s="98">
        <f>'淘系'!M6+'抖音'!M6+PDD!M6+'得物'!M6+'京东自营财经口径'!M6+'京东POP财经口径'!M6+'视频号+官网+小程序'!M6+'快手'!M6+'唯品会'!M6+'线下门店-直营'!M6++'线下门店-经销'!M6+'线下渠道'!M6+'淘系达播'!M6+'抖音达播'!M6</f>
      </c>
      <c r="O6" s="98">
        <f>'淘系'!N6+'抖音'!N6+PDD!N6+'得物'!N6+'京东自营财经口径'!N6+'京东POP财经口径'!N6+'视频号+官网+小程序'!N6+'快手'!N6+'唯品会'!N6+'线下门店-直营'!N6++'线下门店-经销'!N6+'线下渠道'!N6+'淘系达播'!N6+'抖音达播'!N6</f>
      </c>
      <c r="P6" s="98">
        <f>SUM(C6:O6)</f>
      </c>
      <c r="Q6" s="98"/>
      <c r="R6" s="146" t="str">
        <v>渠道填写</v>
      </c>
      <c r="S6" s="1"/>
      <c r="T6" s="1"/>
      <c r="U6" s="7"/>
      <c r="V6" s="70"/>
      <c r="W6" s="70"/>
    </row>
    <row r="7">
      <c r="A7" s="135"/>
      <c r="B7" s="102" t="str">
        <v>退货率（发货前+后）</v>
      </c>
      <c r="C7" s="102">
        <f>1-C8/C6</f>
      </c>
      <c r="D7" s="102"/>
      <c r="E7" s="102">
        <f>1-E8/E6</f>
      </c>
      <c r="F7" s="102">
        <f>1-F8/F6</f>
      </c>
      <c r="G7" s="102">
        <f>1-G8/G6</f>
      </c>
      <c r="H7" s="102">
        <f>1-H8/H6</f>
      </c>
      <c r="I7" s="102">
        <f>1-I8/I6</f>
      </c>
      <c r="J7" s="102">
        <f>1-J8/J6</f>
      </c>
      <c r="K7" s="102">
        <f>1-K8/K6</f>
      </c>
      <c r="L7" s="102">
        <f>1-L8/L6</f>
      </c>
      <c r="M7" s="102">
        <f>1-M8/M6</f>
      </c>
      <c r="N7" s="102">
        <f>1-N8/N6</f>
      </c>
      <c r="O7" s="102">
        <f>1-O8/O6</f>
      </c>
      <c r="P7" s="102">
        <f>1-P8/P6</f>
      </c>
      <c r="Q7" s="102"/>
      <c r="R7" s="1" t="str">
        <v>渠道填写</v>
      </c>
      <c r="S7" s="1"/>
      <c r="T7" s="1"/>
      <c r="U7" s="7"/>
      <c r="V7" s="70"/>
      <c r="W7" s="70"/>
    </row>
    <row r="8">
      <c r="A8" s="135"/>
      <c r="B8" s="98" t="str">
        <v>GSV（国补后）</v>
      </c>
      <c r="C8" s="98">
        <f>'淘系'!C8+'抖音'!C8+PDD!C8+'得物'!C8+'京东自营财经口径'!C8+'京东POP财经口径'!C8+'视频号+官网+小程序'!C8+'快手'!C8+'唯品会'!C8+'线下门店-直营'!C8++'线下门店-经销'!C8+'线下渠道'!C8+'淘系达播'!C8+'抖音达播'!C8</f>
      </c>
      <c r="D8" s="98"/>
      <c r="E8" s="98">
        <f>'淘系'!D8+'抖音'!D8+PDD!D8+'得物'!D8+'京东自营财经口径'!D8+'京东POP财经口径'!D8+'视频号+官网+小程序'!D8+'快手'!D8+'唯品会'!D8+'线下门店-直营'!D8++'线下门店-经销'!D8+'线下渠道'!D8+'淘系达播'!D8+'抖音达播'!D8</f>
      </c>
      <c r="F8" s="98">
        <f>'淘系'!E8+'抖音'!E8+PDD!E8+'得物'!E8+'京东自营财经口径'!E8+'京东POP财经口径'!E8+'视频号+官网+小程序'!E8+'快手'!E8+'唯品会'!E8+'线下门店-直营'!E8++'线下门店-经销'!E8+'线下渠道'!E8+'淘系达播'!E8+'抖音达播'!E8</f>
      </c>
      <c r="G8" s="98">
        <f>'淘系'!F8+'抖音'!F8+PDD!F8+'得物'!F8+'京东自营财经口径'!F8+'京东POP财经口径'!F8+'视频号+官网+小程序'!F8+'快手'!F8+'唯品会'!F8+'线下门店-直营'!F8++'线下门店-经销'!F8+'线下渠道'!F8+'淘系达播'!F8+'抖音达播'!F8</f>
      </c>
      <c r="H8" s="98">
        <f>'淘系'!G8+'抖音'!G8+PDD!G8+'得物'!G8+'京东自营财经口径'!G8+'京东POP财经口径'!G8+'视频号+官网+小程序'!G8+'快手'!G8+'唯品会'!G8+'线下门店-直营'!G8++'线下门店-经销'!G8+'线下渠道'!G8+'淘系达播'!G8+'抖音达播'!G8</f>
      </c>
      <c r="I8" s="98">
        <f>'淘系'!H8+'抖音'!H8+PDD!H8+'得物'!H8+'京东自营财经口径'!H8+'京东POP财经口径'!H8+'视频号+官网+小程序'!H8+'快手'!H8+'唯品会'!H8+'线下门店-直营'!H8++'线下门店-经销'!H8+'线下渠道'!H8+'淘系达播'!H8+'抖音达播'!H8</f>
      </c>
      <c r="J8" s="98">
        <f>'淘系'!I8+'抖音'!I8+PDD!I8+'得物'!I8+'京东自营财经口径'!I8+'京东POP财经口径'!I8+'视频号+官网+小程序'!I8+'快手'!I8+'唯品会'!I8+'线下门店-直营'!I8++'线下门店-经销'!I8+'线下渠道'!I8+'淘系达播'!I8+'抖音达播'!I8</f>
      </c>
      <c r="K8" s="98">
        <f>'淘系'!J8+'抖音'!J8+PDD!J8+'得物'!J8+'京东自营财经口径'!J8+'京东POP财经口径'!J8+'视频号+官网+小程序'!J8+'快手'!J8+'唯品会'!J8+'线下门店-直营'!J8++'线下门店-经销'!J8+'线下渠道'!J8+'淘系达播'!J8+'抖音达播'!J8</f>
      </c>
      <c r="L8" s="98">
        <f>'淘系'!K8+'抖音'!K8+PDD!K8+'得物'!K8+'京东自营财经口径'!K8+'京东POP财经口径'!K8+'视频号+官网+小程序'!K8+'快手'!K8+'唯品会'!K8+'线下门店-直营'!K8++'线下门店-经销'!K8+'线下渠道'!K8+'淘系达播'!K8+'抖音达播'!K8</f>
      </c>
      <c r="M8" s="98">
        <f>'淘系'!L8+'抖音'!L8+PDD!L8+'得物'!L8+'京东自营财经口径'!L8+'京东POP财经口径'!L8+'视频号+官网+小程序'!L8+'快手'!L8+'唯品会'!L8+'线下门店-直营'!L8++'线下门店-经销'!L8+'线下渠道'!L8+'淘系达播'!L8+'抖音达播'!L8</f>
      </c>
      <c r="N8" s="98">
        <f>'淘系'!M8+'抖音'!M8+PDD!M8+'得物'!M8+'京东自营财经口径'!M8+'京东POP财经口径'!M8+'视频号+官网+小程序'!M8+'快手'!M8+'唯品会'!M8+'线下门店-直营'!M8++'线下门店-经销'!M8+'线下渠道'!M8+'淘系达播'!M8+'抖音达播'!M8</f>
      </c>
      <c r="O8" s="98">
        <f>'淘系'!N8+'抖音'!N8+PDD!N8+'得物'!N8+'京东自营财经口径'!N8+'京东POP财经口径'!N8+'视频号+官网+小程序'!N8+'快手'!N8+'唯品会'!N8+'线下门店-直营'!N8++'线下门店-经销'!N8+'线下渠道'!N8+'淘系达播'!N8+'抖音达播'!N8</f>
      </c>
      <c r="P8" s="98">
        <f>SUM(C8:O8)</f>
      </c>
      <c r="Q8" s="98"/>
      <c r="R8" s="1" t="str">
        <v>渠道填写</v>
      </c>
      <c r="S8" s="1"/>
      <c r="T8" s="1"/>
      <c r="U8" s="7"/>
      <c r="V8" s="70"/>
      <c r="W8" s="70"/>
    </row>
    <row r="9">
      <c r="A9" s="1"/>
      <c r="B9" s="90"/>
      <c r="C9" s="118"/>
      <c r="D9" s="118"/>
      <c r="E9" s="118"/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"/>
      <c r="S9" s="1"/>
      <c r="T9" s="1"/>
      <c r="U9" s="7"/>
      <c r="V9" s="70"/>
      <c r="W9" s="70"/>
    </row>
    <row r="10">
      <c r="A10" s="135"/>
      <c r="B10" s="98" t="str">
        <v>零售价（去除退货后的）</v>
      </c>
      <c r="C10" s="98">
        <f>'淘系'!C10+'抖音'!C10+PDD!C10+'得物'!C10+'京东自营财经口径'!C10+'京东POP财经口径'!C10+'视频号+官网+小程序'!C10+'快手'!C10+'唯品会'!C10+'线下门店-直营'!C10++'线下门店-经销'!C10+'线下渠道'!C10+'淘系达播'!C10+'抖音达播'!C10</f>
      </c>
      <c r="D10" s="98"/>
      <c r="E10" s="98">
        <f>'淘系'!D10+'抖音'!D10+PDD!D10+'得物'!D10+'京东自营财经口径'!D10+'京东POP财经口径'!D10+'视频号+官网+小程序'!D10+'快手'!D10+'唯品会'!D10+'线下门店-直营'!D10++'线下门店-经销'!D10+'线下渠道'!D10+'淘系达播'!D10+'抖音达播'!D10</f>
      </c>
      <c r="F10" s="98">
        <f>'淘系'!E10+'抖音'!E10+PDD!E10+'得物'!E10+'京东自营财经口径'!E10+'京东POP财经口径'!E10+'视频号+官网+小程序'!E10+'快手'!E10+'唯品会'!E10+'线下门店-直营'!E10++'线下门店-经销'!E10+'线下渠道'!E10+'淘系达播'!E10+'抖音达播'!E10</f>
      </c>
      <c r="G10" s="98">
        <f>'淘系'!F10+'抖音'!F10+PDD!F10+'得物'!F10+'京东自营财经口径'!F10+'京东POP财经口径'!F10+'视频号+官网+小程序'!F10+'快手'!F10+'唯品会'!F10+'线下门店-直营'!F10++'线下门店-经销'!F10+'线下渠道'!F10+'淘系达播'!F10+'抖音达播'!F10</f>
      </c>
      <c r="H10" s="98">
        <f>'淘系'!G10+'抖音'!G10+PDD!G10+'得物'!G10+'京东自营财经口径'!G10+'京东POP财经口径'!G10+'视频号+官网+小程序'!G10+'快手'!G10+'唯品会'!G10+'线下门店-直营'!G10++'线下门店-经销'!G10+'线下渠道'!G10+'淘系达播'!G10+'抖音达播'!G10</f>
      </c>
      <c r="I10" s="98">
        <f>'淘系'!H10+'抖音'!H10+PDD!H10+'得物'!H10+'京东自营财经口径'!H10+'京东POP财经口径'!H10+'视频号+官网+小程序'!H10+'快手'!H10+'唯品会'!H10+'线下门店-直营'!H10++'线下门店-经销'!H10+'线下渠道'!H10+'淘系达播'!H10+'抖音达播'!H10</f>
      </c>
      <c r="J10" s="98">
        <f>'淘系'!I10+'抖音'!I10+PDD!I10+'得物'!I10+'京东自营财经口径'!I10+'京东POP财经口径'!I10+'视频号+官网+小程序'!I10+'快手'!I10+'唯品会'!I10+'线下门店-直营'!I10++'线下门店-经销'!I10+'线下渠道'!I10+'淘系达播'!I10+'抖音达播'!I10</f>
      </c>
      <c r="K10" s="98">
        <f>'淘系'!J10+'抖音'!J10+PDD!J10+'得物'!J10+'京东自营财经口径'!J10+'京东POP财经口径'!J10+'视频号+官网+小程序'!J10+'快手'!J10+'唯品会'!J10+'线下门店-直营'!J10++'线下门店-经销'!J10+'线下渠道'!J10+'淘系达播'!J10+'抖音达播'!J10</f>
      </c>
      <c r="L10" s="98">
        <f>'淘系'!K10+'抖音'!K10+PDD!K10+'得物'!K10+'京东自营财经口径'!K10+'京东POP财经口径'!K10+'视频号+官网+小程序'!K10+'快手'!K10+'唯品会'!K10+'线下门店-直营'!K10++'线下门店-经销'!K10+'线下渠道'!K10+'淘系达播'!K10+'抖音达播'!K10</f>
      </c>
      <c r="M10" s="98">
        <f>'淘系'!L10+'抖音'!L10+PDD!L10+'得物'!L10+'京东自营财经口径'!L10+'京东POP财经口径'!L10+'视频号+官网+小程序'!L10+'快手'!L10+'唯品会'!L10+'线下门店-直营'!L10++'线下门店-经销'!L10+'线下渠道'!L10+'淘系达播'!L10+'抖音达播'!L10</f>
      </c>
      <c r="N10" s="98">
        <f>'淘系'!M10+'抖音'!M10+PDD!M10+'得物'!M10+'京东自营财经口径'!M10+'京东POP财经口径'!M10+'视频号+官网+小程序'!M10+'快手'!M10+'唯品会'!M10+'线下门店-直营'!M10++'线下门店-经销'!M10+'线下渠道'!M10+'淘系达播'!M10+'抖音达播'!M10</f>
      </c>
      <c r="O10" s="98">
        <f>'淘系'!N10+'抖音'!N10+PDD!N10+'得物'!N10+'京东自营财经口径'!N10+'京东POP财经口径'!N10+'视频号+官网+小程序'!N10+'快手'!N10+'唯品会'!N10+'线下门店-直营'!N10++'线下门店-经销'!N10+'线下渠道'!N10+'淘系达播'!N10+'抖音达播'!N10</f>
      </c>
      <c r="P10" s="98">
        <f>SUM(C10:O10)</f>
      </c>
      <c r="Q10" s="98"/>
      <c r="R10" s="126" t="str">
        <v>渠道第二次填写</v>
      </c>
      <c r="S10" s="1"/>
      <c r="T10" s="1"/>
      <c r="U10" s="7"/>
      <c r="V10" s="70"/>
      <c r="W10" s="70"/>
    </row>
    <row r="11">
      <c r="A11" s="1"/>
      <c r="B11" s="85" t="str">
        <v>合同折扣及返利 (线下）</v>
      </c>
      <c r="C11" s="125">
        <f>'淘系'!C11+'抖音'!C11+PDD!C11+'得物'!C11+'京东自营财经口径'!C11+'京东POP财经口径'!C11+'视频号+官网+小程序'!C11+'快手'!C11+'唯品会'!C11+'线下门店-直营'!C11+'线下门店-经销'!C11+'线下渠道'!C11+'淘系达播'!C11+'抖音达播'!C11</f>
      </c>
      <c r="D11" s="125"/>
      <c r="E11" s="125">
        <f>'淘系'!D11+'抖音'!D11+PDD!D11+'得物'!D11+'京东自营财经口径'!D11+'京东POP财经口径'!D11+'视频号+官网+小程序'!D11+'快手'!D11+'唯品会'!D11+'线下门店-直营'!D11+'线下门店-经销'!D11+'线下渠道'!D11+'淘系达播'!D11+'抖音达播'!D11</f>
      </c>
      <c r="F11" s="125">
        <f>'淘系'!E11+'抖音'!E11+PDD!E11+'得物'!E11+'京东自营财经口径'!E11+'京东POP财经口径'!E11+'视频号+官网+小程序'!E11+'快手'!E11+'唯品会'!E11+'线下门店-直营'!E11+'线下门店-经销'!E11+'线下渠道'!E11+'淘系达播'!E11+'抖音达播'!E11</f>
      </c>
      <c r="G11" s="125">
        <f>'淘系'!F11+'抖音'!F11+PDD!F11+'得物'!F11+'京东自营财经口径'!F11+'京东POP财经口径'!F11+'视频号+官网+小程序'!F11+'快手'!F11+'唯品会'!F11+'线下门店-直营'!F11+'线下门店-经销'!F11+'线下渠道'!F11+'淘系达播'!F11+'抖音达播'!F11</f>
      </c>
      <c r="H11" s="125">
        <f>'淘系'!G11+'抖音'!G11+PDD!G11+'得物'!G11+'京东自营财经口径'!G11+'京东POP财经口径'!G11+'视频号+官网+小程序'!G11+'快手'!G11+'唯品会'!G11+'线下门店-直营'!G11+'线下门店-经销'!G11+'线下渠道'!G11+'淘系达播'!G11+'抖音达播'!G11</f>
      </c>
      <c r="I11" s="125">
        <f>'淘系'!H11+'抖音'!H11+PDD!H11+'得物'!H11+'京东自营财经口径'!H11+'京东POP财经口径'!H11+'视频号+官网+小程序'!H11+'快手'!H11+'唯品会'!H11+'线下门店-直营'!H11+'线下门店-经销'!H11+'线下渠道'!H11+'淘系达播'!H11+'抖音达播'!H11</f>
      </c>
      <c r="J11" s="125">
        <f>'淘系'!I11+'抖音'!I11+PDD!I11+'得物'!I11+'京东自营财经口径'!I11+'京东POP财经口径'!I11+'视频号+官网+小程序'!I11+'快手'!I11+'唯品会'!I11+'线下门店-直营'!I11+'线下门店-经销'!I11+'线下渠道'!I11+'淘系达播'!I11+'抖音达播'!I11</f>
      </c>
      <c r="K11" s="125">
        <f>'淘系'!J11+'抖音'!J11+PDD!J11+'得物'!J11+'京东自营财经口径'!J11+'京东POP财经口径'!J11+'视频号+官网+小程序'!J11+'快手'!J11+'唯品会'!J11+'线下门店-直营'!J11+'线下门店-经销'!J11+'线下渠道'!J11+'淘系达播'!J11+'抖音达播'!J11</f>
      </c>
      <c r="L11" s="125">
        <f>'淘系'!K11+'抖音'!K11+PDD!K11+'得物'!K11+'京东自营财经口径'!K11+'京东POP财经口径'!K11+'视频号+官网+小程序'!K11+'快手'!K11+'唯品会'!K11+'线下门店-直营'!K11+'线下门店-经销'!K11+'线下渠道'!K11+'淘系达播'!K11+'抖音达播'!K11</f>
      </c>
      <c r="M11" s="125">
        <f>'淘系'!L11+'抖音'!L11+PDD!L11+'得物'!L11+'京东自营财经口径'!L11+'京东POP财经口径'!L11+'视频号+官网+小程序'!L11+'快手'!L11+'唯品会'!L11+'线下门店-直营'!L11+'线下门店-经销'!L11+'线下渠道'!L11+'淘系达播'!L11+'抖音达播'!L11</f>
      </c>
      <c r="N11" s="125">
        <f>'淘系'!M11+'抖音'!M11+PDD!M11+'得物'!M11+'京东自营财经口径'!M11+'京东POP财经口径'!M11+'视频号+官网+小程序'!M11+'快手'!M11+'唯品会'!M11+'线下门店-直营'!M11+'线下门店-经销'!M11+'线下渠道'!M11+'淘系达播'!M11+'抖音达播'!M11</f>
      </c>
      <c r="O11" s="125">
        <f>'淘系'!N11+'抖音'!N11+PDD!N11+'得物'!N11+'京东自营财经口径'!N11+'京东POP财经口径'!N11+'视频号+官网+小程序'!N11+'快手'!N11+'唯品会'!N11+'线下门店-直营'!N11+'线下门店-经销'!N11+'线下渠道'!N11+'淘系达播'!N11+'抖音达播'!N11</f>
      </c>
      <c r="P11" s="127">
        <f>SUM(C11:O11)</f>
      </c>
      <c r="Q11" s="128">
        <f>P11/P8</f>
      </c>
      <c r="R11" s="1" t="str">
        <v>线下渠道填写</v>
      </c>
      <c r="S11" s="54">
        <f>P11/$P$10</f>
      </c>
      <c r="T11" s="1"/>
      <c r="U11" s="7"/>
      <c r="V11" s="70"/>
      <c r="W11" s="70"/>
    </row>
    <row r="12">
      <c r="A12" s="1"/>
      <c r="B12" s="85" t="str">
        <v>国补自补 （线上）</v>
      </c>
      <c r="C12" s="125">
        <f>'淘系'!C12+'抖音'!C12+PDD!C12+'得物'!C12+'京东自营财经口径'!C12+'京东POP财经口径'!C12+'视频号+官网+小程序'!C12+'快手'!C12+'唯品会'!C12+'线下门店-直营'!C12+'线下门店-经销'!C12+'线下渠道'!C12+'淘系达播'!C12+'抖音达播'!C12</f>
      </c>
      <c r="D12" s="125"/>
      <c r="E12" s="125">
        <f>'淘系'!D12+'抖音'!D12+PDD!D12+'得物'!D12+'京东自营财经口径'!D12+'京东POP财经口径'!D12+'视频号+官网+小程序'!D12+'快手'!D12+'唯品会'!D12+'线下门店-直营'!D12+'线下门店-经销'!D12+'线下渠道'!D12+'淘系达播'!D12+'抖音达播'!D12</f>
      </c>
      <c r="F12" s="125">
        <f>'淘系'!E12+'抖音'!E12+PDD!E12+'得物'!E12+'京东自营财经口径'!E12+'京东POP财经口径'!E12+'视频号+官网+小程序'!E12+'快手'!E12+'唯品会'!E12+'线下门店-直营'!E12+'线下门店-经销'!E12+'线下渠道'!E12+'淘系达播'!E12+'抖音达播'!E12</f>
      </c>
      <c r="G12" s="125">
        <f>'淘系'!F12+'抖音'!F12+PDD!F12+'得物'!F12+'京东自营财经口径'!F12+'京东POP财经口径'!F12+'视频号+官网+小程序'!F12+'快手'!F12+'唯品会'!F12+'线下门店-直营'!F12+'线下门店-经销'!F12+'线下渠道'!F12+'淘系达播'!F12+'抖音达播'!F12</f>
      </c>
      <c r="H12" s="125">
        <f>'淘系'!G12+'抖音'!G12+PDD!G12+'得物'!G12+'京东自营财经口径'!G12+'京东POP财经口径'!G12+'视频号+官网+小程序'!G12+'快手'!G12+'唯品会'!G12+'线下门店-直营'!G12+'线下门店-经销'!G12+'线下渠道'!G12+'淘系达播'!G12+'抖音达播'!G12</f>
      </c>
      <c r="I12" s="125">
        <f>'淘系'!H12+'抖音'!H12+PDD!H12+'得物'!H12+'京东自营财经口径'!H12+'京东POP财经口径'!H12+'视频号+官网+小程序'!H12+'快手'!H12+'唯品会'!H12+'线下门店-直营'!H12+'线下门店-经销'!H12+'线下渠道'!H12+'淘系达播'!H12+'抖音达播'!H12</f>
      </c>
      <c r="J12" s="125">
        <f>'淘系'!I12+'抖音'!I12+PDD!I12+'得物'!I12+'京东自营财经口径'!I12+'京东POP财经口径'!I12+'视频号+官网+小程序'!I12+'快手'!I12+'唯品会'!I12+'线下门店-直营'!I12+'线下门店-经销'!I12+'线下渠道'!I12+'淘系达播'!I12+'抖音达播'!I12</f>
      </c>
      <c r="K12" s="125">
        <f>'淘系'!J12+'抖音'!J12+PDD!J12+'得物'!J12+'京东自营财经口径'!J12+'京东POP财经口径'!J12+'视频号+官网+小程序'!J12+'快手'!J12+'唯品会'!J12+'线下门店-直营'!J12+'线下门店-经销'!J12+'线下渠道'!J12+'淘系达播'!J12+'抖音达播'!J12</f>
      </c>
      <c r="L12" s="125">
        <f>'淘系'!K12+'抖音'!K12+PDD!K12+'得物'!K12+'京东自营财经口径'!K12+'京东POP财经口径'!K12+'视频号+官网+小程序'!K12+'快手'!K12+'唯品会'!K12+'线下门店-直营'!K12+'线下门店-经销'!K12+'线下渠道'!K12+'淘系达播'!K12+'抖音达播'!K12</f>
      </c>
      <c r="M12" s="125">
        <f>'淘系'!L12+'抖音'!L12+PDD!L12+'得物'!L12+'京东自营财经口径'!L12+'京东POP财经口径'!L12+'视频号+官网+小程序'!L12+'快手'!L12+'唯品会'!L12+'线下门店-直营'!L12+'线下门店-经销'!L12+'线下渠道'!L12+'淘系达播'!L12+'抖音达播'!L12</f>
      </c>
      <c r="N12" s="125">
        <f>'淘系'!M12+'抖音'!M12+PDD!M12+'得物'!M12+'京东自营财经口径'!M12+'京东POP财经口径'!M12+'视频号+官网+小程序'!M12+'快手'!M12+'唯品会'!M12+'线下门店-直营'!M12+'线下门店-经销'!M12+'线下渠道'!M12+'淘系达播'!M12+'抖音达播'!M12</f>
      </c>
      <c r="O12" s="125">
        <f>'淘系'!N12+'抖音'!N12+PDD!N12+'得物'!N12+'京东自营财经口径'!N12+'京东POP财经口径'!N12+'视频号+官网+小程序'!N12+'快手'!N12+'唯品会'!N12+'线下门店-直营'!N12+'线下门店-经销'!N12+'线下渠道'!N12+'淘系达播'!N12+'抖音达播'!N12</f>
      </c>
      <c r="P12" s="127">
        <f>SUM(C12:O12)</f>
      </c>
      <c r="Q12" s="128">
        <f>P12/P8</f>
      </c>
      <c r="R12" s="1" t="str">
        <v>渠道填写</v>
      </c>
      <c r="S12" s="54">
        <f>P12/$P$10</f>
      </c>
      <c r="T12" s="1"/>
      <c r="U12" s="7"/>
      <c r="V12" s="70"/>
      <c r="W12" s="70"/>
    </row>
    <row r="13">
      <c r="A13" s="1"/>
      <c r="B13" s="85" t="str">
        <v>红包消费券等促销折扣</v>
      </c>
      <c r="C13" s="125">
        <f>'淘系'!C13+'抖音'!C13+PDD!C13+'得物'!C13+'京东自营财经口径'!C13+'京东POP财经口径'!C13+'视频号+官网+小程序'!C13+'快手'!C13+'唯品会'!C13+'线下门店-直营'!C13+'线下门店-经销'!C13+'线下渠道'!C13+'淘系达播'!C13+'抖音达播'!C13</f>
      </c>
      <c r="D13" s="125"/>
      <c r="E13" s="125">
        <f>'淘系'!D13+'抖音'!D13+PDD!D13+'得物'!D13+'京东自营财经口径'!D13+'京东POP财经口径'!D13+'视频号+官网+小程序'!D13+'快手'!D13+'唯品会'!D13+'线下门店-直营'!D13+'线下门店-经销'!D13+'线下渠道'!D13+'淘系达播'!D13+'抖音达播'!D13</f>
      </c>
      <c r="F13" s="125">
        <f>'淘系'!E13+'抖音'!E13+PDD!E13+'得物'!E13+'京东自营财经口径'!E13+'京东POP财经口径'!E13+'视频号+官网+小程序'!E13+'快手'!E13+'唯品会'!E13+'线下门店-直营'!E13+'线下门店-经销'!E13+'线下渠道'!E13+'淘系达播'!E13+'抖音达播'!E13</f>
      </c>
      <c r="G13" s="125">
        <f>'淘系'!F13+'抖音'!F13+PDD!F13+'得物'!F13+'京东自营财经口径'!F13+'京东POP财经口径'!F13+'视频号+官网+小程序'!F13+'快手'!F13+'唯品会'!F13+'线下门店-直营'!F13+'线下门店-经销'!F13+'线下渠道'!F13+'淘系达播'!F13+'抖音达播'!F13</f>
      </c>
      <c r="H13" s="125">
        <f>'淘系'!G13+'抖音'!G13+PDD!G13+'得物'!G13+'京东自营财经口径'!G13+'京东POP财经口径'!G13+'视频号+官网+小程序'!G13+'快手'!G13+'唯品会'!G13+'线下门店-直营'!G13+'线下门店-经销'!G13+'线下渠道'!G13+'淘系达播'!G13+'抖音达播'!G13</f>
      </c>
      <c r="I13" s="125">
        <f>'淘系'!H13+'抖音'!H13+PDD!H13+'得物'!H13+'京东自营财经口径'!H13+'京东POP财经口径'!H13+'视频号+官网+小程序'!H13+'快手'!H13+'唯品会'!H13+'线下门店-直营'!H13+'线下门店-经销'!H13+'线下渠道'!H13+'淘系达播'!H13+'抖音达播'!H13</f>
      </c>
      <c r="J13" s="125">
        <f>'淘系'!I13+'抖音'!I13+PDD!I13+'得物'!I13+'京东自营财经口径'!I13+'京东POP财经口径'!I13+'视频号+官网+小程序'!I13+'快手'!I13+'唯品会'!I13+'线下门店-直营'!I13+'线下门店-经销'!I13+'线下渠道'!I13+'淘系达播'!I13+'抖音达播'!I13</f>
      </c>
      <c r="K13" s="125">
        <f>'淘系'!J13+'抖音'!J13+PDD!J13+'得物'!J13+'京东自营财经口径'!J13+'京东POP财经口径'!J13+'视频号+官网+小程序'!J13+'快手'!J13+'唯品会'!J13+'线下门店-直营'!J13+'线下门店-经销'!J13+'线下渠道'!J13+'淘系达播'!J13+'抖音达播'!J13</f>
      </c>
      <c r="L13" s="125">
        <f>'淘系'!K13+'抖音'!K13+PDD!K13+'得物'!K13+'京东自营财经口径'!K13+'京东POP财经口径'!K13+'视频号+官网+小程序'!K13+'快手'!K13+'唯品会'!K13+'线下门店-直营'!K13+'线下门店-经销'!K13+'线下渠道'!K13+'淘系达播'!K13+'抖音达播'!K13</f>
      </c>
      <c r="M13" s="125">
        <f>'淘系'!L13+'抖音'!L13+PDD!L13+'得物'!L13+'京东自营财经口径'!L13+'京东POP财经口径'!L13+'视频号+官网+小程序'!L13+'快手'!L13+'唯品会'!L13+'线下门店-直营'!L13+'线下门店-经销'!L13+'线下渠道'!L13+'淘系达播'!L13+'抖音达播'!L13</f>
      </c>
      <c r="N13" s="125">
        <f>'淘系'!M13+'抖音'!M13+PDD!M13+'得物'!M13+'京东自营财经口径'!M13+'京东POP财经口径'!M13+'视频号+官网+小程序'!M13+'快手'!M13+'唯品会'!M13+'线下门店-直营'!M13+'线下门店-经销'!M13+'线下渠道'!M13+'淘系达播'!M13+'抖音达播'!M13</f>
      </c>
      <c r="O13" s="125">
        <f>'淘系'!N13+'抖音'!N13+PDD!N13+'得物'!N13+'京东自营财经口径'!N13+'京东POP财经口径'!N13+'视频号+官网+小程序'!N13+'快手'!N13+'唯品会'!N13+'线下门店-直营'!N13+'线下门店-经销'!N13+'线下渠道'!N13+'淘系达播'!N13+'抖音达播'!N13</f>
      </c>
      <c r="P13" s="127">
        <f>SUM(C13:O13)</f>
      </c>
      <c r="Q13" s="128">
        <f>P13/P8</f>
      </c>
      <c r="R13" s="126" t="str">
        <v>渠道填写</v>
      </c>
      <c r="S13" s="54">
        <f>P13/$P$10</f>
      </c>
      <c r="T13" s="1"/>
      <c r="U13" s="7"/>
      <c r="V13" s="70"/>
      <c r="W13" s="70"/>
    </row>
    <row r="14">
      <c r="A14" s="1"/>
      <c r="B14" s="83" t="str">
        <v>TTL 折扣合计</v>
      </c>
      <c r="C14" s="115">
        <f>SUM(C11:C13)</f>
      </c>
      <c r="D14" s="115"/>
      <c r="E14" s="115">
        <f>SUM(E11:E13)</f>
      </c>
      <c r="F14" s="115">
        <f>SUM(F11:F13)</f>
      </c>
      <c r="G14" s="115">
        <f>SUM(G11:G13)</f>
      </c>
      <c r="H14" s="115">
        <f>SUM(H11:H13)</f>
      </c>
      <c r="I14" s="115">
        <f>SUM(I11:I13)</f>
      </c>
      <c r="J14" s="115">
        <f>SUM(J11:J13)</f>
      </c>
      <c r="K14" s="115">
        <f>SUM(K11:K13)</f>
      </c>
      <c r="L14" s="115">
        <f>SUM(L11:L13)</f>
      </c>
      <c r="M14" s="115">
        <f>SUM(M11:M13)</f>
      </c>
      <c r="N14" s="115">
        <f>SUM(N11:N13)</f>
      </c>
      <c r="O14" s="115">
        <f>SUM(O11:O13)</f>
      </c>
      <c r="P14" s="115">
        <f>SUM(C14:O14)</f>
      </c>
      <c r="Q14" s="116">
        <f>P14/P8</f>
      </c>
      <c r="R14" s="1"/>
      <c r="S14" s="54">
        <f>P14/$P$10</f>
      </c>
      <c r="T14" s="1"/>
      <c r="U14" s="7"/>
      <c r="V14" s="70"/>
      <c r="W14" s="70"/>
    </row>
    <row r="15">
      <c r="A15" s="135"/>
      <c r="B15" s="98" t="str">
        <v>GSV</v>
      </c>
      <c r="C15" s="98">
        <f>C8</f>
      </c>
      <c r="D15" s="98"/>
      <c r="E15" s="98">
        <f>E8</f>
      </c>
      <c r="F15" s="98">
        <f>F8</f>
      </c>
      <c r="G15" s="98">
        <f>G8</f>
      </c>
      <c r="H15" s="98">
        <f>H8</f>
      </c>
      <c r="I15" s="98">
        <f>I8</f>
      </c>
      <c r="J15" s="98">
        <f>J8</f>
      </c>
      <c r="K15" s="98">
        <f>K8</f>
      </c>
      <c r="L15" s="98">
        <f>L8</f>
      </c>
      <c r="M15" s="98">
        <f>M8</f>
      </c>
      <c r="N15" s="98">
        <f>N8</f>
      </c>
      <c r="O15" s="98">
        <f>O8</f>
      </c>
      <c r="P15" s="98">
        <f>SUM(C15:O15)</f>
      </c>
      <c r="Q15" s="98"/>
      <c r="R15" s="1"/>
      <c r="S15" s="1"/>
      <c r="T15" s="1"/>
      <c r="U15" s="7"/>
      <c r="V15" s="70"/>
      <c r="W15" s="70"/>
    </row>
    <row r="16">
      <c r="A16" s="135"/>
      <c r="B16" s="98" t="str">
        <v>营业收入</v>
      </c>
      <c r="C16" s="98">
        <f>+C8/1.13</f>
      </c>
      <c r="D16" s="98"/>
      <c r="E16" s="98">
        <f>+E8/1.13</f>
      </c>
      <c r="F16" s="98">
        <f>+F8/1.13</f>
      </c>
      <c r="G16" s="98">
        <f>+G8/1.13</f>
      </c>
      <c r="H16" s="98">
        <f>+H8/1.13</f>
      </c>
      <c r="I16" s="98">
        <f>+I8/1.13</f>
      </c>
      <c r="J16" s="98">
        <f>+J8/1.13</f>
      </c>
      <c r="K16" s="98">
        <f>+K8/1.13</f>
      </c>
      <c r="L16" s="98">
        <f>+L8/1.13</f>
      </c>
      <c r="M16" s="98">
        <f>+M8/1.13</f>
      </c>
      <c r="N16" s="98">
        <f>+N8/1.13</f>
      </c>
      <c r="O16" s="98">
        <f>+O8/1.13</f>
      </c>
      <c r="P16" s="98">
        <f>SUM(C16:O16)</f>
      </c>
      <c r="Q16" s="98"/>
      <c r="R16" s="1"/>
      <c r="S16" s="1"/>
      <c r="T16" s="1"/>
      <c r="U16" s="119">
        <f>P16-'淘系'!O16-'淘系达播'!O16-'抖音'!O16-'抖音达播'!O16-'快手'!O16-'京东POP财经口径'!O16-'京东自营财经口径'!O16-PDD!O16-'得物'!O16-'视频号+官网+小程序'!O16-'唯品会'!O16-'线下门店-直营'!O16-'线下门店-经销'!O16-'线下渠道'!O16</f>
      </c>
      <c r="V16" s="70"/>
      <c r="W16" s="70"/>
    </row>
    <row r="17">
      <c r="A17" s="1"/>
      <c r="B17" s="1"/>
      <c r="C17" s="44">
        <f>C14/C15</f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19">
        <f>P17-'淘系'!O17-'淘系达播'!O17-'抖音'!O17-'抖音达播'!O17-'快手'!O17-'京东POP财经口径'!O17-'京东自营财经口径'!O17-PDD!O17-'得物'!O17-'视频号+官网+小程序'!O17-'唯品会'!O17-'线下门店-直营'!O17-'线下门店-经销'!O17-'线下渠道'!O17</f>
      </c>
      <c r="V17" s="70"/>
      <c r="W17" s="70"/>
    </row>
    <row r="18">
      <c r="A18" s="1"/>
      <c r="B18" s="85" t="str">
        <v>标准主品配件成本</v>
      </c>
      <c r="C18" s="127">
        <f>'淘系'!C18+'抖音'!C18+PDD!C18+'得物'!C18+'京东自营财经口径'!C18+'京东POP财经口径'!C18+'视频号+官网+小程序'!C18+'快手'!C18+'唯品会'!C18+'线下门店-直营'!C18+'线下门店-经销'!C18+'线下渠道'!C18+'淘系达播'!C18+'抖音达播'!C18</f>
      </c>
      <c r="D18" s="127"/>
      <c r="E18" s="127">
        <f>'淘系'!D18+'抖音'!D18+PDD!D18+'得物'!D18+'京东自营财经口径'!D18+'京东POP财经口径'!D18+'视频号+官网+小程序'!D18+'快手'!D18+'唯品会'!D18+'线下门店-直营'!D18+'线下门店-经销'!D18+'线下渠道'!D18+'淘系达播'!D18+'抖音达播'!D18</f>
      </c>
      <c r="F18" s="127">
        <f>'淘系'!E18+'抖音'!E18+PDD!E18+'得物'!E18+'京东自营财经口径'!E18+'京东POP财经口径'!E18+'视频号+官网+小程序'!E18+'快手'!E18+'唯品会'!E18+'线下门店-直营'!E18+'线下门店-经销'!E18+'线下渠道'!E18+'淘系达播'!E18+'抖音达播'!E18</f>
      </c>
      <c r="G18" s="127">
        <f>'淘系'!F18+'抖音'!F18+PDD!F18+'得物'!F18+'京东自营财经口径'!F18+'京东POP财经口径'!F18+'视频号+官网+小程序'!F18+'快手'!F18+'唯品会'!F18+'线下门店-直营'!F18+'线下门店-经销'!F18+'线下渠道'!F18+'淘系达播'!F18+'抖音达播'!F18</f>
      </c>
      <c r="H18" s="127">
        <f>'淘系'!G18+'抖音'!G18+PDD!G18+'得物'!G18+'京东自营财经口径'!G18+'京东POP财经口径'!G18+'视频号+官网+小程序'!G18+'快手'!G18+'唯品会'!G18+'线下门店-直营'!G18+'线下门店-经销'!G18+'线下渠道'!G18+'淘系达播'!G18+'抖音达播'!G18</f>
      </c>
      <c r="I18" s="127">
        <f>'淘系'!H18+'抖音'!H18+PDD!H18+'得物'!H18+'京东自营财经口径'!H18+'京东POP财经口径'!H18+'视频号+官网+小程序'!H18+'快手'!H18+'唯品会'!H18+'线下门店-直营'!H18+'线下门店-经销'!H18+'线下渠道'!H18+'淘系达播'!H18+'抖音达播'!H18</f>
      </c>
      <c r="J18" s="127">
        <f>'淘系'!I18+'抖音'!I18+PDD!I18+'得物'!I18+'京东自营财经口径'!I18+'京东POP财经口径'!I18+'视频号+官网+小程序'!I18+'快手'!I18+'唯品会'!I18+'线下门店-直营'!I18+'线下门店-经销'!I18+'线下渠道'!I18+'淘系达播'!I18+'抖音达播'!I18</f>
      </c>
      <c r="K18" s="127">
        <f>'淘系'!J18+'抖音'!J18+PDD!J18+'得物'!J18+'京东自营财经口径'!J18+'京东POP财经口径'!J18+'视频号+官网+小程序'!J18+'快手'!J18+'唯品会'!J18+'线下门店-直营'!J18+'线下门店-经销'!J18+'线下渠道'!J18+'淘系达播'!J18+'抖音达播'!J18</f>
      </c>
      <c r="L18" s="127">
        <f>'淘系'!K18+'抖音'!K18+PDD!K18+'得物'!K18+'京东自营财经口径'!K18+'京东POP财经口径'!K18+'视频号+官网+小程序'!K18+'快手'!K18+'唯品会'!K18+'线下门店-直营'!K18+'线下门店-经销'!K18+'线下渠道'!K18+'淘系达播'!K18+'抖音达播'!K18</f>
      </c>
      <c r="M18" s="127">
        <f>'淘系'!L18+'抖音'!L18+PDD!L18+'得物'!L18+'京东自营财经口径'!L18+'京东POP财经口径'!L18+'视频号+官网+小程序'!L18+'快手'!L18+'唯品会'!L18+'线下门店-直营'!L18+'线下门店-经销'!L18+'线下渠道'!L18+'淘系达播'!L18+'抖音达播'!L18</f>
      </c>
      <c r="N18" s="127">
        <f>'淘系'!M18+'抖音'!M18+PDD!M18+'得物'!M18+'京东自营财经口径'!M18+'京东POP财经口径'!M18+'视频号+官网+小程序'!M18+'快手'!M18+'唯品会'!M18+'线下门店-直营'!M18+'线下门店-经销'!M18+'线下渠道'!M18+'淘系达播'!M18+'抖音达播'!M18</f>
      </c>
      <c r="O18" s="127">
        <f>'淘系'!N18+'抖音'!N18+PDD!N18+'得物'!N18+'京东自营财经口径'!N18+'京东POP财经口径'!N18+'视频号+官网+小程序'!N18+'快手'!N18+'唯品会'!N18+'线下门店-直营'!N18+'线下门店-经销'!N18+'线下渠道'!N18+'淘系达播'!N18+'抖音达播'!N18</f>
      </c>
      <c r="P18" s="127">
        <f>SUM(C18:O18)</f>
      </c>
      <c r="Q18" s="128">
        <f>P18/P16</f>
      </c>
      <c r="R18" s="1"/>
      <c r="S18" s="1" t="str" xml:space="preserve">
        <v> Y25 Bi 成本54%</v>
      </c>
      <c r="T18" s="1"/>
      <c r="U18" s="119">
        <f>P18-'淘系'!O18-'淘系达播'!O18-'抖音'!O18-'抖音达播'!O18-'快手'!O18-'京东POP财经口径'!O18-'京东自营财经口径'!O18-PDD!O18-'得物'!O18-'视频号+官网+小程序'!O18-'唯品会'!O18-'线下门店-直营'!O18-'线下门店-经销'!O18-'线下渠道'!O18</f>
      </c>
      <c r="V18" s="70"/>
      <c r="W18" s="70"/>
    </row>
    <row r="19">
      <c r="A19" s="1"/>
      <c r="B19" s="83" t="str">
        <v>产品毛利</v>
      </c>
      <c r="C19" s="115">
        <f>C16-C18</f>
      </c>
      <c r="D19" s="115"/>
      <c r="E19" s="115">
        <f>E16-E18</f>
      </c>
      <c r="F19" s="115">
        <f>F16-F18</f>
      </c>
      <c r="G19" s="115">
        <f>G16-G18</f>
      </c>
      <c r="H19" s="115">
        <f>H16-H18</f>
      </c>
      <c r="I19" s="115">
        <f>I16-I18</f>
      </c>
      <c r="J19" s="115">
        <f>J16-J18</f>
      </c>
      <c r="K19" s="115">
        <f>K16-K18</f>
      </c>
      <c r="L19" s="115">
        <f>L16-L18</f>
      </c>
      <c r="M19" s="115">
        <f>M16-M18</f>
      </c>
      <c r="N19" s="115">
        <f>N16-N18</f>
      </c>
      <c r="O19" s="115">
        <f>O16-O18</f>
      </c>
      <c r="P19" s="115">
        <f>SUM(C19:O19)</f>
      </c>
      <c r="Q19" s="116">
        <f>P19/$P$16</f>
      </c>
      <c r="R19" s="1"/>
      <c r="S19" s="158">
        <f>P16*0.12</f>
      </c>
      <c r="T19" s="1"/>
      <c r="U19" s="119">
        <f>P19-'淘系'!O19-'淘系达播'!O19-'抖音'!O19-'抖音达播'!O19-'快手'!O19-'京东POP财经口径'!O19-'京东自营财经口径'!O19-PDD!O19-'得物'!O19-'视频号+官网+小程序'!O19-'唯品会'!O19-'线下门店-直营'!O19-'线下门店-经销'!O19-'线下渠道'!O19</f>
      </c>
      <c r="V19" s="70"/>
      <c r="W19" s="70"/>
    </row>
    <row r="20">
      <c r="A20" s="118"/>
      <c r="B20" s="90" t="str">
        <v>头程/尾程物流/仓储费用</v>
      </c>
      <c r="C20" s="118">
        <f>C16*2.5%</f>
      </c>
      <c r="D20" s="118"/>
      <c r="E20" s="118">
        <f>E16*2.5%</f>
      </c>
      <c r="F20" s="118">
        <f>F16*2.5%</f>
      </c>
      <c r="G20" s="118">
        <f>G16*2.5%</f>
      </c>
      <c r="H20" s="118">
        <f>H16*2.5%</f>
      </c>
      <c r="I20" s="118">
        <f>I16*2.5%</f>
      </c>
      <c r="J20" s="118">
        <f>J16*2.5%</f>
      </c>
      <c r="K20" s="118">
        <f>K16*2.5%</f>
      </c>
      <c r="L20" s="118">
        <f>L16*2.5%</f>
      </c>
      <c r="M20" s="118">
        <f>M16*2.5%</f>
      </c>
      <c r="N20" s="118">
        <f>N16*2.5%</f>
      </c>
      <c r="O20" s="118">
        <f>O16*2.5%</f>
      </c>
      <c r="P20" s="118">
        <f>SUM(C20:O20)</f>
      </c>
      <c r="Q20" s="120">
        <v>0.025</v>
      </c>
      <c r="R20" s="1"/>
      <c r="S20" s="158"/>
      <c r="T20" s="1"/>
      <c r="U20" s="119">
        <f>P20-'淘系'!O20-'淘系达播'!O20-'抖音'!O20-'抖音达播'!O20-'快手'!O20-'京东POP财经口径'!O20-'京东自营财经口径'!O20-PDD!O20-'得物'!O20-'视频号+官网+小程序'!O20-'唯品会'!O20-'线下门店-直营'!O20-'线下门店-经销'!O20-'线下渠道'!O20</f>
      </c>
      <c r="V20" s="70"/>
      <c r="W20" s="70"/>
    </row>
    <row r="21">
      <c r="A21" s="1"/>
      <c r="B21" s="83" t="str">
        <v>成本合计（产品+物流）</v>
      </c>
      <c r="C21" s="115">
        <f>SUM(C18,C20)</f>
      </c>
      <c r="D21" s="115"/>
      <c r="E21" s="115">
        <f>SUM(E18,E20)</f>
      </c>
      <c r="F21" s="115">
        <f>SUM(F18,F20)</f>
      </c>
      <c r="G21" s="115">
        <f>SUM(G18,G20)</f>
      </c>
      <c r="H21" s="115">
        <f>SUM(H18,H20)</f>
      </c>
      <c r="I21" s="115">
        <f>SUM(I18,I20)</f>
      </c>
      <c r="J21" s="115">
        <f>SUM(J18,J20)</f>
      </c>
      <c r="K21" s="115">
        <f>SUM(K18,K20)</f>
      </c>
      <c r="L21" s="115">
        <f>SUM(L18,L20)</f>
      </c>
      <c r="M21" s="115">
        <f>SUM(M18,M20)</f>
      </c>
      <c r="N21" s="115">
        <f>SUM(N18,N20)</f>
      </c>
      <c r="O21" s="115">
        <f>SUM(O18,O20)</f>
      </c>
      <c r="P21" s="115">
        <f>SUM(C21:O21)</f>
      </c>
      <c r="Q21" s="116">
        <f>P21/$P$16</f>
      </c>
      <c r="R21" s="1"/>
      <c r="S21" s="158"/>
      <c r="T21" s="1"/>
      <c r="U21" s="119">
        <f>P21-'淘系'!O21-'淘系达播'!O21-'抖音'!O21-'抖音达播'!O21-'快手'!O21-'京东POP财经口径'!O21-'京东自营财经口径'!O21-PDD!O21-'得物'!O21-'视频号+官网+小程序'!O21-'唯品会'!O21-'线下门店-直营'!O21-'线下门店-经销'!O21-'线下渠道'!O21</f>
      </c>
      <c r="V21" s="70"/>
      <c r="W21" s="70"/>
    </row>
    <row r="22">
      <c r="A22" s="135"/>
      <c r="B22" s="98" t="str">
        <v>净毛利</v>
      </c>
      <c r="C22" s="98">
        <f>C16-C21</f>
      </c>
      <c r="D22" s="98"/>
      <c r="E22" s="98">
        <f>E16-E21</f>
      </c>
      <c r="F22" s="98">
        <f>F16-F21</f>
      </c>
      <c r="G22" s="98">
        <f>G16-G21</f>
      </c>
      <c r="H22" s="98">
        <f>H16-H21</f>
      </c>
      <c r="I22" s="98">
        <f>I16-I21</f>
      </c>
      <c r="J22" s="98">
        <f>J16-J21</f>
      </c>
      <c r="K22" s="98">
        <f>K16-K21</f>
      </c>
      <c r="L22" s="98">
        <f>L16-L21</f>
      </c>
      <c r="M22" s="98">
        <f>M16-M21</f>
      </c>
      <c r="N22" s="98">
        <f>N16-N21</f>
      </c>
      <c r="O22" s="98">
        <f>O16-O21</f>
      </c>
      <c r="P22" s="98">
        <f>SUM(C22:O22)</f>
      </c>
      <c r="Q22" s="162">
        <f>P22/$P$16</f>
      </c>
      <c r="R22" s="1"/>
      <c r="S22" s="1"/>
      <c r="T22" s="1"/>
      <c r="U22" s="119">
        <f>P22-'淘系'!O22-'淘系达播'!O22-'抖音'!O22-'抖音达播'!O22-'快手'!O22-'京东POP财经口径'!O22-'京东自营财经口径'!O22-PDD!O22-'得物'!O22-'视频号+官网+小程序'!O22-'唯品会'!O22-'线下门店-直营'!O22-'线下门店-经销'!O22-'线下渠道'!O22</f>
      </c>
      <c r="V22" s="70"/>
      <c r="W22" s="70"/>
    </row>
    <row r="23">
      <c r="A23" s="1"/>
      <c r="B23" s="102" t="str">
        <v>实际产品毛利率</v>
      </c>
      <c r="C23" s="165">
        <f>C19/C16</f>
      </c>
      <c r="D23" s="165"/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165">
        <f>P19/P16</f>
      </c>
      <c r="Q23" s="120"/>
      <c r="R23" s="1"/>
      <c r="S23" s="1" t="str">
        <v>top down 毛利53%</v>
      </c>
      <c r="T23" s="1"/>
      <c r="U23" s="119">
        <f>P23-'淘系'!O23-'淘系达播'!O23-'抖音'!O23-'抖音达播'!O23-'快手'!O23-'京东POP财经口径'!O23-'京东自营财经口径'!O23-PDD!O23-'得物'!O23-'视频号+官网+小程序'!O23-'唯品会'!O23-'线下门店-直营'!O23-'线下门店-经销'!O23-'线下渠道'!O23</f>
      </c>
      <c r="V23" s="70"/>
      <c r="W23" s="70"/>
    </row>
    <row r="24">
      <c r="A24" s="1"/>
      <c r="B24" s="102" t="str">
        <v>合计毛利率</v>
      </c>
      <c r="C24" s="165">
        <f>IFERROR(1-C21/C16,0)</f>
      </c>
      <c r="D24" s="165"/>
      <c r="E24" s="165">
        <f>IFERROR(1-E21/E16,0)</f>
      </c>
      <c r="F24" s="165">
        <f>IFERROR(1-F21/F16,0)</f>
      </c>
      <c r="G24" s="165">
        <f>IFERROR(1-G21/G16,0)</f>
      </c>
      <c r="H24" s="165">
        <f>IFERROR(1-H21/H16,0)</f>
      </c>
      <c r="I24" s="165">
        <f>IFERROR(1-I21/I16,0)</f>
      </c>
      <c r="J24" s="165">
        <f>IFERROR(1-J21/J16,0)</f>
      </c>
      <c r="K24" s="165">
        <f>IFERROR(1-K21/K16,0)</f>
      </c>
      <c r="L24" s="165">
        <f>IFERROR(1-L21/L16,0)</f>
      </c>
      <c r="M24" s="165">
        <f>IFERROR(1-M21/M16,0)</f>
      </c>
      <c r="N24" s="165">
        <f>IFERROR(1-N21/N16,0)</f>
      </c>
      <c r="O24" s="165">
        <f>IFERROR(1-O21/O16,0)</f>
      </c>
      <c r="P24" s="165">
        <f>IFERROR(1-P21/P16,0)</f>
      </c>
      <c r="Q24" s="120"/>
      <c r="R24" s="1"/>
      <c r="S24" s="1"/>
      <c r="T24" s="1"/>
      <c r="U24" s="119">
        <f>P24-'淘系'!O24-'淘系达播'!O24-'抖音'!O24-'抖音达播'!O24-'快手'!O24-'京东POP财经口径'!O24-'京东自营财经口径'!O24-PDD!O24-'得物'!O24-'视频号+官网+小程序'!O24-'唯品会'!O24-'线下门店-直营'!O24-'线下门店-经销'!O24-'线下渠道'!O24</f>
      </c>
      <c r="V24" s="70"/>
      <c r="W24" s="70"/>
    </row>
    <row r="25">
      <c r="A25" s="1"/>
      <c r="B25" s="1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18"/>
      <c r="Q25" s="120"/>
      <c r="R25" s="1"/>
      <c r="S25" s="1"/>
      <c r="T25" s="1"/>
      <c r="U25" s="119">
        <f>P25-'淘系'!O25-'淘系达播'!O25-'抖音'!O25-'抖音达播'!O25-'快手'!O25-'京东POP财经口径'!O25-'京东自营财经口径'!O25-PDD!O25-'得物'!O25-'视频号+官网+小程序'!O25-'唯品会'!O25-'线下门店-直营'!O25-'线下门店-经销'!O25-'线下渠道'!O25</f>
      </c>
      <c r="V25" s="70"/>
      <c r="W25" s="70"/>
    </row>
    <row r="26">
      <c r="A26" s="1"/>
      <c r="B26" s="129" t="str">
        <v>品牌及内容费用</v>
      </c>
      <c r="C26" s="129">
        <f>SUM(C27:C31)</f>
      </c>
      <c r="D26" s="128">
        <f>C26/C$16</f>
      </c>
      <c r="E26" s="129">
        <f>SUM(E27:E31)</f>
      </c>
      <c r="F26" s="129">
        <f>SUM(F27:F31)</f>
      </c>
      <c r="G26" s="129">
        <f>SUM(G27:G31)</f>
      </c>
      <c r="H26" s="129">
        <f>SUM(H27:H31)</f>
      </c>
      <c r="I26" s="129">
        <f>SUM(I27:I31)</f>
      </c>
      <c r="J26" s="129">
        <f>SUM(J27:J31)</f>
      </c>
      <c r="K26" s="129">
        <f>SUM(K27:K31)</f>
      </c>
      <c r="L26" s="129">
        <f>SUM(L27:L31)</f>
      </c>
      <c r="M26" s="129">
        <f>SUM(M27:M31)</f>
      </c>
      <c r="N26" s="129">
        <f>SUM(N27:N31)</f>
      </c>
      <c r="O26" s="129">
        <f>SUM(O27:O31)</f>
      </c>
      <c r="P26" s="129">
        <f>SUM(C26:O26)</f>
      </c>
      <c r="Q26" s="128">
        <f>P26/$P$16</f>
      </c>
      <c r="R26" s="1"/>
      <c r="S26" s="1"/>
      <c r="T26" s="1"/>
      <c r="U26" s="119">
        <f>P26-'淘系'!O26-'淘系达播'!O26-'抖音'!O26-'抖音达播'!O26-'快手'!O26-'京东POP财经口径'!O26-'京东自营财经口径'!O26-PDD!O26-'得物'!O26-'视频号+官网+小程序'!O26-'唯品会'!O26-'线下门店-直营'!O26-'线下门店-经销'!O26-'线下渠道'!O26</f>
      </c>
    </row>
    <row r="27">
      <c r="A27" s="118"/>
      <c r="B27" s="117" t="str">
        <v>展会</v>
      </c>
      <c r="C27" s="117">
        <f>'淘系'!C27+'抖音'!C27+PDD!C27+'得物'!C27+'京东自营财经口径'!C27+'京东POP财经口径'!C27+'视频号+官网+小程序'!C27+'快手'!C27+'唯品会'!C27+'线下门店-直营'!C27+'线下门店-经销'!C27+'线下渠道'!C27+'淘系达播'!C27+'抖音达播'!C27</f>
      </c>
      <c r="D27" s="117"/>
      <c r="E27" s="117">
        <f>'淘系'!D27+'抖音'!D27+PDD!D27+'得物'!D27+'京东自营财经口径'!D27+'京东POP财经口径'!D27+'视频号+官网+小程序'!D27+'快手'!D27+'唯品会'!D27+'线下门店-直营'!D27+'线下门店-经销'!D27+'线下渠道'!D27+'淘系达播'!D27+'抖音达播'!D27</f>
      </c>
      <c r="F27" s="117">
        <f>'淘系'!E27+'抖音'!E27+PDD!E27+'得物'!E27+'京东自营财经口径'!E27+'京东POP财经口径'!E27+'视频号+官网+小程序'!E27+'快手'!E27+'唯品会'!E27+'线下门店-直营'!E27+'线下门店-经销'!E27+'线下渠道'!E27+'淘系达播'!E27+'抖音达播'!E27</f>
      </c>
      <c r="G27" s="117">
        <f>'淘系'!F27+'抖音'!F27+PDD!F27+'得物'!F27+'京东自营财经口径'!F27+'京东POP财经口径'!F27+'视频号+官网+小程序'!F27+'快手'!F27+'唯品会'!F27+'线下门店-直营'!F27+'线下门店-经销'!F27+'线下渠道'!F27+'淘系达播'!F27+'抖音达播'!F27</f>
      </c>
      <c r="H27" s="117">
        <f>'淘系'!G27+'抖音'!G27+PDD!G27+'得物'!G27+'京东自营财经口径'!G27+'京东POP财经口径'!G27+'视频号+官网+小程序'!G27+'快手'!G27+'唯品会'!G27+'线下门店-直营'!G27+'线下门店-经销'!G27+'线下渠道'!G27+'淘系达播'!G27+'抖音达播'!G27</f>
      </c>
      <c r="I27" s="117">
        <f>'淘系'!H27+'抖音'!H27+PDD!H27+'得物'!H27+'京东自营财经口径'!H27+'京东POP财经口径'!H27+'视频号+官网+小程序'!H27+'快手'!H27+'唯品会'!H27+'线下门店-直营'!H27+'线下门店-经销'!H27+'线下渠道'!H27+'淘系达播'!H27+'抖音达播'!H27</f>
      </c>
      <c r="J27" s="117">
        <f>'淘系'!I27+'抖音'!I27+PDD!I27+'得物'!I27+'京东自营财经口径'!I27+'京东POP财经口径'!I27+'视频号+官网+小程序'!I27+'快手'!I27+'唯品会'!I27+'线下门店-直营'!I27+'线下门店-经销'!I27+'线下渠道'!I27+'淘系达播'!I27+'抖音达播'!I27</f>
      </c>
      <c r="K27" s="117">
        <f>'淘系'!J27+'抖音'!J27+PDD!J27+'得物'!J27+'京东自营财经口径'!J27+'京东POP财经口径'!J27+'视频号+官网+小程序'!J27+'快手'!J27+'唯品会'!J27+'线下门店-直营'!J27+'线下门店-经销'!J27+'线下渠道'!J27+'淘系达播'!J27+'抖音达播'!J27</f>
      </c>
      <c r="L27" s="117">
        <f>'淘系'!K27+'抖音'!K27+PDD!K27+'得物'!K27+'京东自营财经口径'!K27+'京东POP财经口径'!K27+'视频号+官网+小程序'!K27+'快手'!K27+'唯品会'!K27+'线下门店-直营'!K27+'线下门店-经销'!K27+'线下渠道'!K27+'淘系达播'!K27+'抖音达播'!K27</f>
      </c>
      <c r="M27" s="117">
        <f>'淘系'!L27+'抖音'!L27+PDD!L27+'得物'!L27+'京东自营财经口径'!L27+'京东POP财经口径'!L27+'视频号+官网+小程序'!L27+'快手'!L27+'唯品会'!L27+'线下门店-直营'!L27+'线下门店-经销'!L27+'线下渠道'!L27+'淘系达播'!L27+'抖音达播'!L27</f>
      </c>
      <c r="N27" s="117">
        <f>'淘系'!M27+'抖音'!M27+PDD!M27+'得物'!M27+'京东自营财经口径'!M27+'京东POP财经口径'!M27+'视频号+官网+小程序'!M27+'快手'!M27+'唯品会'!M27+'线下门店-直营'!M27+'线下门店-经销'!M27+'线下渠道'!M27+'淘系达播'!M27+'抖音达播'!M27</f>
      </c>
      <c r="O27" s="117">
        <f>'淘系'!N27+'抖音'!N27+PDD!N27+'得物'!N27+'京东自营财经口径'!N27+'京东POP财经口径'!N27+'视频号+官网+小程序'!N27+'快手'!N27+'唯品会'!N27+'线下门店-直营'!N27+'线下门店-经销'!N27+'线下渠道'!N27+'淘系达播'!N27+'抖音达播'!N27</f>
      </c>
      <c r="P27" s="117">
        <f>SUM(C27:O27)</f>
      </c>
      <c r="Q27" s="120">
        <f>P27/$P$16</f>
      </c>
      <c r="R27" s="90"/>
      <c r="S27" s="1"/>
      <c r="T27" s="1"/>
      <c r="U27" s="119">
        <f>P27-'淘系'!O27-'淘系达播'!O27-'抖音'!O27-'抖音达播'!O27-'快手'!O27-'京东POP财经口径'!O27-'京东自营财经口径'!O27-PDD!O27-'得物'!O27-'视频号+官网+小程序'!O27-'唯品会'!O27-'线下门店-直营'!O27-'线下门店-经销'!O27-'线下渠道'!O27</f>
      </c>
    </row>
    <row r="28">
      <c r="A28" s="118"/>
      <c r="B28" s="117" t="str">
        <v>品牌营销</v>
      </c>
      <c r="C28" s="117">
        <f>'淘系'!C28+'抖音'!C28+PDD!C28+'得物'!C28+'京东自营财经口径'!C28+'京东POP财经口径'!C28+'视频号+官网+小程序'!C28+'快手'!C28+'唯品会'!C28+'线下门店-直营'!C28+'线下门店-经销'!C28+'线下渠道'!C28+'淘系达播'!C28+'抖音达播'!C28</f>
      </c>
      <c r="D28" s="117"/>
      <c r="E28" s="117">
        <f>'淘系'!D28+'抖音'!D28+PDD!D28+'得物'!D28+'京东自营财经口径'!D28+'京东POP财经口径'!D28+'视频号+官网+小程序'!D28+'快手'!D28+'唯品会'!D28+'线下门店-直营'!D28+'线下门店-经销'!D28+'线下渠道'!D28+'淘系达播'!D28+'抖音达播'!D28</f>
      </c>
      <c r="F28" s="117">
        <f>'淘系'!E28+'抖音'!E28+PDD!E28+'得物'!E28+'京东自营财经口径'!E28+'京东POP财经口径'!E28+'视频号+官网+小程序'!E28+'快手'!E28+'唯品会'!E28+'线下门店-直营'!E28+'线下门店-经销'!E28+'线下渠道'!E28+'淘系达播'!E28+'抖音达播'!E28</f>
      </c>
      <c r="G28" s="117">
        <f>'淘系'!F28+'抖音'!F28+PDD!F28+'得物'!F28+'京东自营财经口径'!F28+'京东POP财经口径'!F28+'视频号+官网+小程序'!F28+'快手'!F28+'唯品会'!F28+'线下门店-直营'!F28+'线下门店-经销'!F28+'线下渠道'!F28+'淘系达播'!F28+'抖音达播'!F28</f>
      </c>
      <c r="H28" s="117">
        <f>'淘系'!G28+'抖音'!G28+PDD!G28+'得物'!G28+'京东自营财经口径'!G28+'京东POP财经口径'!G28+'视频号+官网+小程序'!G28+'快手'!G28+'唯品会'!G28+'线下门店-直营'!G28+'线下门店-经销'!G28+'线下渠道'!G28+'淘系达播'!G28+'抖音达播'!G28</f>
      </c>
      <c r="I28" s="117">
        <f>'淘系'!H28+'抖音'!H28+PDD!H28+'得物'!H28+'京东自营财经口径'!H28+'京东POP财经口径'!H28+'视频号+官网+小程序'!H28+'快手'!H28+'唯品会'!H28+'线下门店-直营'!H28+'线下门店-经销'!H28+'线下渠道'!H28+'淘系达播'!H28+'抖音达播'!H28</f>
      </c>
      <c r="J28" s="117">
        <f>'淘系'!I28+'抖音'!I28+PDD!I28+'得物'!I28+'京东自营财经口径'!I28+'京东POP财经口径'!I28+'视频号+官网+小程序'!I28+'快手'!I28+'唯品会'!I28+'线下门店-直营'!I28+'线下门店-经销'!I28+'线下渠道'!I28+'淘系达播'!I28+'抖音达播'!I28</f>
      </c>
      <c r="K28" s="117">
        <f>'淘系'!J28+'抖音'!J28+PDD!J28+'得物'!J28+'京东自营财经口径'!J28+'京东POP财经口径'!J28+'视频号+官网+小程序'!J28+'快手'!J28+'唯品会'!J28+'线下门店-直营'!J28+'线下门店-经销'!J28+'线下渠道'!J28+'淘系达播'!J28+'抖音达播'!J28</f>
      </c>
      <c r="L28" s="117">
        <f>'淘系'!K28+'抖音'!K28+PDD!K28+'得物'!K28+'京东自营财经口径'!K28+'京东POP财经口径'!K28+'视频号+官网+小程序'!K28+'快手'!K28+'唯品会'!K28+'线下门店-直营'!K28+'线下门店-经销'!K28+'线下渠道'!K28+'淘系达播'!K28+'抖音达播'!K28</f>
      </c>
      <c r="M28" s="117">
        <f>'淘系'!L28+'抖音'!L28+PDD!L28+'得物'!L28+'京东自营财经口径'!L28+'京东POP财经口径'!L28+'视频号+官网+小程序'!L28+'快手'!L28+'唯品会'!L28+'线下门店-直营'!L28+'线下门店-经销'!L28+'线下渠道'!L28+'淘系达播'!L28+'抖音达播'!L28</f>
      </c>
      <c r="N28" s="117">
        <f>'淘系'!M28+'抖音'!M28+PDD!M28+'得物'!M28+'京东自营财经口径'!M28+'京东POP财经口径'!M28+'视频号+官网+小程序'!M28+'快手'!M28+'唯品会'!M28+'线下门店-直营'!M28+'线下门店-经销'!M28+'线下渠道'!M28+'淘系达播'!M28+'抖音达播'!M28</f>
      </c>
      <c r="O28" s="117">
        <f>'淘系'!N28+'抖音'!N28+PDD!N28+'得物'!N28+'京东自营财经口径'!N28+'京东POP财经口径'!N28+'视频号+官网+小程序'!N28+'快手'!N28+'唯品会'!N28+'线下门店-直营'!N28+'线下门店-经销'!N28+'线下渠道'!N28+'淘系达播'!N28+'抖音达播'!N28</f>
      </c>
      <c r="P28" s="117">
        <f>SUM(C28:O28)</f>
      </c>
      <c r="Q28" s="120">
        <f>P28/$P$16</f>
      </c>
      <c r="R28" s="90"/>
      <c r="S28" s="1"/>
      <c r="T28" s="1"/>
      <c r="U28" s="119">
        <f>P28-'淘系'!O28-'淘系达播'!O28-'抖音'!O28-'抖音达播'!O28-'快手'!O28-'京东POP财经口径'!O28-'京东自营财经口径'!O28-PDD!O28-'得物'!O28-'视频号+官网+小程序'!O28-'唯品会'!O28-'线下门店-直营'!O28-'线下门店-经销'!O28-'线下渠道'!O28</f>
      </c>
    </row>
    <row r="29">
      <c r="A29" s="118"/>
      <c r="B29" s="117" t="str">
        <v>内容素材制作</v>
      </c>
      <c r="C29" s="117">
        <f>'淘系'!C29+'抖音'!C29+PDD!C29+'得物'!C29+'京东自营财经口径'!C29+'京东POP财经口径'!C29+'视频号+官网+小程序'!C29+'快手'!C29+'唯品会'!C29+'线下门店-直营'!C29+'线下门店-经销'!C29+'线下渠道'!C29+'淘系达播'!C29+'抖音达播'!C29</f>
      </c>
      <c r="D29" s="117"/>
      <c r="E29" s="117">
        <f>'淘系'!D29+'抖音'!D29+PDD!D29+'得物'!D29+'京东自营财经口径'!D29+'京东POP财经口径'!D29+'视频号+官网+小程序'!D29+'快手'!D29+'唯品会'!D29+'线下门店-直营'!D29+'线下门店-经销'!D29+'线下渠道'!D29+'淘系达播'!D29+'抖音达播'!D29</f>
      </c>
      <c r="F29" s="117">
        <f>'淘系'!E29+'抖音'!E29+PDD!E29+'得物'!E29+'京东自营财经口径'!E29+'京东POP财经口径'!E29+'视频号+官网+小程序'!E29+'快手'!E29+'唯品会'!E29+'线下门店-直营'!E29+'线下门店-经销'!E29+'线下渠道'!E29+'淘系达播'!E29+'抖音达播'!E29</f>
      </c>
      <c r="G29" s="117">
        <f>'淘系'!F29+'抖音'!F29+PDD!F29+'得物'!F29+'京东自营财经口径'!F29+'京东POP财经口径'!F29+'视频号+官网+小程序'!F29+'快手'!F29+'唯品会'!F29+'线下门店-直营'!F29+'线下门店-经销'!F29+'线下渠道'!F29+'淘系达播'!F29+'抖音达播'!F29</f>
      </c>
      <c r="H29" s="117">
        <f>'淘系'!G29+'抖音'!G29+PDD!G29+'得物'!G29+'京东自营财经口径'!G29+'京东POP财经口径'!G29+'视频号+官网+小程序'!G29+'快手'!G29+'唯品会'!G29+'线下门店-直营'!G29+'线下门店-经销'!G29+'线下渠道'!G29+'淘系达播'!G29+'抖音达播'!G29</f>
      </c>
      <c r="I29" s="117">
        <f>'淘系'!H29+'抖音'!H29+PDD!H29+'得物'!H29+'京东自营财经口径'!H29+'京东POP财经口径'!H29+'视频号+官网+小程序'!H29+'快手'!H29+'唯品会'!H29+'线下门店-直营'!H29+'线下门店-经销'!H29+'线下渠道'!H29+'淘系达播'!H29+'抖音达播'!H29</f>
      </c>
      <c r="J29" s="117">
        <f>'淘系'!I29+'抖音'!I29+PDD!I29+'得物'!I29+'京东自营财经口径'!I29+'京东POP财经口径'!I29+'视频号+官网+小程序'!I29+'快手'!I29+'唯品会'!I29+'线下门店-直营'!I29+'线下门店-经销'!I29+'线下渠道'!I29+'淘系达播'!I29+'抖音达播'!I29</f>
      </c>
      <c r="K29" s="117">
        <f>'淘系'!J29+'抖音'!J29+PDD!J29+'得物'!J29+'京东自营财经口径'!J29+'京东POP财经口径'!J29+'视频号+官网+小程序'!J29+'快手'!J29+'唯品会'!J29+'线下门店-直营'!J29+'线下门店-经销'!J29+'线下渠道'!J29+'淘系达播'!J29+'抖音达播'!J29</f>
      </c>
      <c r="L29" s="117">
        <f>'淘系'!K29+'抖音'!K29+PDD!K29+'得物'!K29+'京东自营财经口径'!K29+'京东POP财经口径'!K29+'视频号+官网+小程序'!K29+'快手'!K29+'唯品会'!K29+'线下门店-直营'!K29+'线下门店-经销'!K29+'线下渠道'!K29+'淘系达播'!K29+'抖音达播'!K29</f>
      </c>
      <c r="M29" s="117">
        <f>'淘系'!L29+'抖音'!L29+PDD!L29+'得物'!L29+'京东自营财经口径'!L29+'京东POP财经口径'!L29+'视频号+官网+小程序'!L29+'快手'!L29+'唯品会'!L29+'线下门店-直营'!L29+'线下门店-经销'!L29+'线下渠道'!L29+'淘系达播'!L29+'抖音达播'!L29</f>
      </c>
      <c r="N29" s="117">
        <f>'淘系'!M29+'抖音'!M29+PDD!M29+'得物'!M29+'京东自营财经口径'!M29+'京东POP财经口径'!M29+'视频号+官网+小程序'!M29+'快手'!M29+'唯品会'!M29+'线下门店-直营'!M29+'线下门店-经销'!M29+'线下渠道'!M29+'淘系达播'!M29+'抖音达播'!M29</f>
      </c>
      <c r="O29" s="117">
        <f>'淘系'!N29+'抖音'!N29+PDD!N29+'得物'!N29+'京东自营财经口径'!N29+'京东POP财经口径'!N29+'视频号+官网+小程序'!N29+'快手'!N29+'唯品会'!N29+'线下门店-直营'!N29+'线下门店-经销'!N29+'线下渠道'!N29+'淘系达播'!N29+'抖音达播'!N29</f>
      </c>
      <c r="P29" s="117">
        <f>SUM(C29:O29)</f>
      </c>
      <c r="Q29" s="120">
        <f>P29/$P$16</f>
      </c>
      <c r="R29" s="1"/>
      <c r="S29" s="1"/>
      <c r="T29" s="1"/>
      <c r="U29" s="119">
        <f>P29-'淘系'!O29-'淘系达播'!O29-'抖音'!O29-'抖音达播'!O29-'快手'!O29-'京东POP财经口径'!O29-'京东自营财经口径'!O29-PDD!O29-'得物'!O29-'视频号+官网+小程序'!O29-'唯品会'!O29-'线下门店-直营'!O29-'线下门店-经销'!O29-'线下渠道'!O29</f>
      </c>
    </row>
    <row r="30">
      <c r="A30" s="118"/>
      <c r="B30" s="117" t="str">
        <v>公关费用</v>
      </c>
      <c r="C30" s="117">
        <f>'淘系'!C30+'抖音'!C30+PDD!C30+'得物'!C30+'京东自营财经口径'!C30+'京东POP财经口径'!C30+'视频号+官网+小程序'!C30+'快手'!C30+'唯品会'!C30+'线下门店-直营'!C30+'线下门店-经销'!C30+'线下渠道'!C30+'淘系达播'!C30+'抖音达播'!C30</f>
      </c>
      <c r="D30" s="117"/>
      <c r="E30" s="117">
        <f>'淘系'!D30+'抖音'!D30+PDD!D30+'得物'!D30+'京东自营财经口径'!D30+'京东POP财经口径'!D30+'视频号+官网+小程序'!D30+'快手'!D30+'唯品会'!D30+'线下门店-直营'!D30+'线下门店-经销'!D30+'线下渠道'!D30+'淘系达播'!D30+'抖音达播'!D30</f>
      </c>
      <c r="F30" s="117">
        <f>'淘系'!E30+'抖音'!E30+PDD!E30+'得物'!E30+'京东自营财经口径'!E30+'京东POP财经口径'!E30+'视频号+官网+小程序'!E30+'快手'!E30+'唯品会'!E30+'线下门店-直营'!E30+'线下门店-经销'!E30+'线下渠道'!E30+'淘系达播'!E30+'抖音达播'!E30</f>
      </c>
      <c r="G30" s="117">
        <f>'淘系'!F30+'抖音'!F30+PDD!F30+'得物'!F30+'京东自营财经口径'!F30+'京东POP财经口径'!F30+'视频号+官网+小程序'!F30+'快手'!F30+'唯品会'!F30+'线下门店-直营'!F30+'线下门店-经销'!F30+'线下渠道'!F30+'淘系达播'!F30+'抖音达播'!F30</f>
      </c>
      <c r="H30" s="117">
        <f>'淘系'!G30+'抖音'!G30+PDD!G30+'得物'!G30+'京东自营财经口径'!G30+'京东POP财经口径'!G30+'视频号+官网+小程序'!G30+'快手'!G30+'唯品会'!G30+'线下门店-直营'!G30+'线下门店-经销'!G30+'线下渠道'!G30+'淘系达播'!G30+'抖音达播'!G30</f>
      </c>
      <c r="I30" s="117">
        <f>'淘系'!H30+'抖音'!H30+PDD!H30+'得物'!H30+'京东自营财经口径'!H30+'京东POP财经口径'!H30+'视频号+官网+小程序'!H30+'快手'!H30+'唯品会'!H30+'线下门店-直营'!H30+'线下门店-经销'!H30+'线下渠道'!H30+'淘系达播'!H30+'抖音达播'!H30</f>
      </c>
      <c r="J30" s="117">
        <f>'淘系'!I30+'抖音'!I30+PDD!I30+'得物'!I30+'京东自营财经口径'!I30+'京东POP财经口径'!I30+'视频号+官网+小程序'!I30+'快手'!I30+'唯品会'!I30+'线下门店-直营'!I30+'线下门店-经销'!I30+'线下渠道'!I30+'淘系达播'!I30+'抖音达播'!I30</f>
      </c>
      <c r="K30" s="117">
        <f>'淘系'!J30+'抖音'!J30+PDD!J30+'得物'!J30+'京东自营财经口径'!J30+'京东POP财经口径'!J30+'视频号+官网+小程序'!J30+'快手'!J30+'唯品会'!J30+'线下门店-直营'!J30+'线下门店-经销'!J30+'线下渠道'!J30+'淘系达播'!J30+'抖音达播'!J30</f>
      </c>
      <c r="L30" s="117">
        <f>'淘系'!K30+'抖音'!K30+PDD!K30+'得物'!K30+'京东自营财经口径'!K30+'京东POP财经口径'!K30+'视频号+官网+小程序'!K30+'快手'!K30+'唯品会'!K30+'线下门店-直营'!K30+'线下门店-经销'!K30+'线下渠道'!K30+'淘系达播'!K30+'抖音达播'!K30</f>
      </c>
      <c r="M30" s="117">
        <f>'淘系'!L30+'抖音'!L30+PDD!L30+'得物'!L30+'京东自营财经口径'!L30+'京东POP财经口径'!L30+'视频号+官网+小程序'!L30+'快手'!L30+'唯品会'!L30+'线下门店-直营'!L30+'线下门店-经销'!L30+'线下渠道'!L30+'淘系达播'!L30+'抖音达播'!L30</f>
      </c>
      <c r="N30" s="117">
        <f>'淘系'!M30+'抖音'!M30+PDD!M30+'得物'!M30+'京东自营财经口径'!M30+'京东POP财经口径'!M30+'视频号+官网+小程序'!M30+'快手'!M30+'唯品会'!M30+'线下门店-直营'!M30+'线下门店-经销'!M30+'线下渠道'!M30+'淘系达播'!M30+'抖音达播'!M30</f>
      </c>
      <c r="O30" s="117">
        <f>'淘系'!N30+'抖音'!N30+PDD!N30+'得物'!N30+'京东自营财经口径'!N30+'京东POP财经口径'!N30+'视频号+官网+小程序'!N30+'快手'!N30+'唯品会'!N30+'线下门店-直营'!N30+'线下门店-经销'!N30+'线下渠道'!N30+'淘系达播'!N30+'抖音达播'!N30</f>
      </c>
      <c r="P30" s="117">
        <f>SUM(C30:O30)</f>
      </c>
      <c r="Q30" s="120">
        <f>P30/$P$16</f>
      </c>
      <c r="R30" s="1"/>
      <c r="S30" s="1"/>
      <c r="T30" s="1"/>
      <c r="U30" s="119">
        <f>P30-'淘系'!O30-'淘系达播'!O30-'抖音'!O30-'抖音达播'!O30-'快手'!O30-'京东POP财经口径'!O30-'京东自营财经口径'!O30-PDD!O30-'得物'!O30-'视频号+官网+小程序'!O30-'唯品会'!O30-'线下门店-直营'!O30-'线下门店-经销'!O30-'线下渠道'!O30</f>
      </c>
    </row>
    <row collapsed="true" r="31">
      <c r="A31" s="118"/>
      <c r="B31" s="117" t="str">
        <v>达人种草、样机及加热</v>
      </c>
      <c r="C31" s="117">
        <f>'淘系'!C31+'抖音'!C31+PDD!C31+'得物'!C31+'京东自营财经口径'!C31+'京东POP财经口径'!C31+'视频号+官网+小程序'!C31+'快手'!C31+'唯品会'!C31+'线下门店-直营'!C31+'线下门店-经销'!C31+'线下渠道'!C31+'淘系达播'!C31+'抖音达播'!C31</f>
      </c>
      <c r="D31" s="117"/>
      <c r="E31" s="117">
        <f>'淘系'!D31+'抖音'!D31+PDD!D31+'得物'!D31+'京东自营财经口径'!D31+'京东POP财经口径'!D31+'视频号+官网+小程序'!D31+'快手'!D31+'唯品会'!D31+'线下门店-直营'!D31+'线下门店-经销'!D31+'线下渠道'!D31+'淘系达播'!D31+'抖音达播'!D31</f>
      </c>
      <c r="F31" s="117">
        <f>'淘系'!E31+'抖音'!E31+PDD!E31+'得物'!E31+'京东自营财经口径'!E31+'京东POP财经口径'!E31+'视频号+官网+小程序'!E31+'快手'!E31+'唯品会'!E31+'线下门店-直营'!E31+'线下门店-经销'!E31+'线下渠道'!E31+'淘系达播'!E31+'抖音达播'!E31</f>
      </c>
      <c r="G31" s="117">
        <f>'淘系'!F31+'抖音'!F31+PDD!F31+'得物'!F31+'京东自营财经口径'!F31+'京东POP财经口径'!F31+'视频号+官网+小程序'!F31+'快手'!F31+'唯品会'!F31+'线下门店-直营'!F31+'线下门店-经销'!F31+'线下渠道'!F31+'淘系达播'!F31+'抖音达播'!F31</f>
      </c>
      <c r="H31" s="117">
        <f>'淘系'!G31+'抖音'!G31+PDD!G31+'得物'!G31+'京东自营财经口径'!G31+'京东POP财经口径'!G31+'视频号+官网+小程序'!G31+'快手'!G31+'唯品会'!G31+'线下门店-直营'!G31+'线下门店-经销'!G31+'线下渠道'!G31+'淘系达播'!G31+'抖音达播'!G31</f>
      </c>
      <c r="I31" s="117">
        <f>'淘系'!H31+'抖音'!H31+PDD!H31+'得物'!H31+'京东自营财经口径'!H31+'京东POP财经口径'!H31+'视频号+官网+小程序'!H31+'快手'!H31+'唯品会'!H31+'线下门店-直营'!H31+'线下门店-经销'!H31+'线下渠道'!H31+'淘系达播'!H31+'抖音达播'!H31</f>
      </c>
      <c r="J31" s="117">
        <f>'淘系'!I31+'抖音'!I31+PDD!I31+'得物'!I31+'京东自营财经口径'!I31+'京东POP财经口径'!I31+'视频号+官网+小程序'!I31+'快手'!I31+'唯品会'!I31+'线下门店-直营'!I31+'线下门店-经销'!I31+'线下渠道'!I31+'淘系达播'!I31+'抖音达播'!I31</f>
      </c>
      <c r="K31" s="117">
        <f>'淘系'!J31+'抖音'!J31+PDD!J31+'得物'!J31+'京东自营财经口径'!J31+'京东POP财经口径'!J31+'视频号+官网+小程序'!J31+'快手'!J31+'唯品会'!J31+'线下门店-直营'!J31+'线下门店-经销'!J31+'线下渠道'!J31+'淘系达播'!J31+'抖音达播'!J31</f>
      </c>
      <c r="L31" s="117">
        <f>'淘系'!K31+'抖音'!K31+PDD!K31+'得物'!K31+'京东自营财经口径'!K31+'京东POP财经口径'!K31+'视频号+官网+小程序'!K31+'快手'!K31+'唯品会'!K31+'线下门店-直营'!K31+'线下门店-经销'!K31+'线下渠道'!K31+'淘系达播'!K31+'抖音达播'!K31</f>
      </c>
      <c r="M31" s="117">
        <f>'淘系'!L31+'抖音'!L31+PDD!L31+'得物'!L31+'京东自营财经口径'!L31+'京东POP财经口径'!L31+'视频号+官网+小程序'!L31+'快手'!L31+'唯品会'!L31+'线下门店-直营'!L31+'线下门店-经销'!L31+'线下渠道'!L31+'淘系达播'!L31+'抖音达播'!L31</f>
      </c>
      <c r="N31" s="117">
        <f>'淘系'!M31+'抖音'!M31+PDD!M31+'得物'!M31+'京东自营财经口径'!M31+'京东POP财经口径'!M31+'视频号+官网+小程序'!M31+'快手'!M31+'唯品会'!M31+'线下门店-直营'!M31+'线下门店-经销'!M31+'线下渠道'!M31+'淘系达播'!M31+'抖音达播'!M31</f>
      </c>
      <c r="O31" s="117">
        <f>'淘系'!N31+'抖音'!N31+PDD!N31+'得物'!N31+'京东自营财经口径'!N31+'京东POP财经口径'!N31+'视频号+官网+小程序'!N31+'快手'!N31+'唯品会'!N31+'线下门店-直营'!N31+'线下门店-经销'!N31+'线下渠道'!N31+'淘系达播'!N31+'抖音达播'!N31</f>
      </c>
      <c r="P31" s="117">
        <f>SUM(C31:O31)</f>
      </c>
      <c r="Q31" s="120">
        <f>P31/$P$16</f>
      </c>
      <c r="R31" s="1"/>
      <c r="S31" s="1"/>
      <c r="T31" s="1"/>
      <c r="U31" s="119">
        <f>P31-'淘系'!O31-'淘系达播'!O31-'抖音'!O31-'抖音达播'!O31-'快手'!O31-'京东POP财经口径'!O31-'京东自营财经口径'!O31-PDD!O31-'得物'!O31-'视频号+官网+小程序'!O31-'唯品会'!O31-'线下门店-直营'!O31-'线下门店-经销'!O31-'线下渠道'!O31</f>
      </c>
    </row>
    <row hidden="true" outlineLevel="1" r="32">
      <c r="A32" s="118"/>
      <c r="B32" s="117" t="str">
        <v>展会(费率)</v>
      </c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20"/>
      <c r="R32" s="1"/>
      <c r="S32" s="1"/>
      <c r="T32" s="1"/>
      <c r="U32" s="119">
        <f>P32-'淘系'!O32-'淘系达播'!O32-'抖音'!O32-'抖音达播'!O32-'快手'!O32-'京东POP财经口径'!O32-'京东自营财经口径'!O32-PDD!O32-'得物'!O32-'视频号+官网+小程序'!O32-'唯品会'!O32-'线下门店-直营'!O32-'线下门店-经销'!O32-'线下渠道'!O32</f>
      </c>
    </row>
    <row hidden="true" outlineLevel="1" r="33">
      <c r="A33" s="118"/>
      <c r="B33" s="117" t="str">
        <v>品牌营销（费率）</v>
      </c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20"/>
      <c r="R33" s="1"/>
      <c r="S33" s="1"/>
      <c r="T33" s="1"/>
      <c r="U33" s="119">
        <f>P33-'淘系'!O33-'淘系达播'!O33-'抖音'!O33-'抖音达播'!O33-'快手'!O33-'京东POP财经口径'!O33-'京东自营财经口径'!O33-PDD!O33-'得物'!O33-'视频号+官网+小程序'!O33-'唯品会'!O33-'线下门店-直营'!O33-'线下门店-经销'!O33-'线下渠道'!O33</f>
      </c>
    </row>
    <row hidden="true" outlineLevel="1" r="34">
      <c r="A34" s="118"/>
      <c r="B34" s="117" t="str">
        <v>内容素材制作（费率）</v>
      </c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20"/>
      <c r="R34" s="1"/>
      <c r="U34" s="119">
        <f>P34-'淘系'!O34-'淘系达播'!O34-'抖音'!O34-'抖音达播'!O34-'快手'!O34-'京东POP财经口径'!O34-'京东自营财经口径'!O34-PDD!O34-'得物'!O34-'视频号+官网+小程序'!O34-'唯品会'!O34-'线下门店-直营'!O34-'线下门店-经销'!O34-'线下渠道'!O34</f>
      </c>
    </row>
    <row hidden="true" outlineLevel="1" r="35">
      <c r="A35" s="118"/>
      <c r="B35" s="117" t="str">
        <v>公关费用（费率）</v>
      </c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20"/>
      <c r="R35" s="1"/>
      <c r="U35" s="119">
        <f>P35-'淘系'!O35-'淘系达播'!O35-'抖音'!O35-'抖音达播'!O35-'快手'!O35-'京东POP财经口径'!O35-'京东自营财经口径'!O35-PDD!O35-'得物'!O35-'视频号+官网+小程序'!O35-'唯品会'!O35-'线下门店-直营'!O35-'线下门店-经销'!O35-'线下渠道'!O35</f>
      </c>
    </row>
    <row hidden="true" outlineLevel="1" r="36">
      <c r="A36" s="118"/>
      <c r="B36" s="117" t="str">
        <v>达人种草、样机及加热（费率）</v>
      </c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20"/>
      <c r="R36" s="1"/>
      <c r="U36" s="119">
        <f>P36-'淘系'!O36-'淘系达播'!O36-'抖音'!O36-'抖音达播'!O36-'快手'!O36-'京东POP财经口径'!O36-'京东自营财经口径'!O36-PDD!O36-'得物'!O36-'视频号+官网+小程序'!O36-'唯品会'!O36-'线下门店-直营'!O36-'线下门店-经销'!O36-'线下渠道'!O36</f>
      </c>
    </row>
    <row r="37">
      <c r="A37" s="1"/>
      <c r="B37" s="129" t="str">
        <v>效果广告</v>
      </c>
      <c r="C37" s="129">
        <f>SUM(C38:C40)</f>
      </c>
      <c r="D37" s="128">
        <f>C37/C$16</f>
      </c>
      <c r="E37" s="129">
        <f>SUM(E38:E40)</f>
      </c>
      <c r="F37" s="129">
        <f>SUM(F38:F40)</f>
      </c>
      <c r="G37" s="129">
        <f>SUM(G38:G40)</f>
      </c>
      <c r="H37" s="129">
        <f>SUM(H38:H40)</f>
      </c>
      <c r="I37" s="129">
        <f>SUM(I38:I40)</f>
      </c>
      <c r="J37" s="129">
        <f>SUM(J38:J40)</f>
      </c>
      <c r="K37" s="129">
        <f>SUM(K38:K40)</f>
      </c>
      <c r="L37" s="129">
        <f>SUM(L38:L40)</f>
      </c>
      <c r="M37" s="129">
        <f>SUM(M38:M40)</f>
      </c>
      <c r="N37" s="129">
        <f>SUM(N38:N40)</f>
      </c>
      <c r="O37" s="129">
        <f>SUM(O38:O40)</f>
      </c>
      <c r="P37" s="129">
        <f>SUM(C37:O37)</f>
      </c>
      <c r="Q37" s="128">
        <f>P37/$P$16</f>
      </c>
      <c r="R37" s="1"/>
      <c r="S37" s="70">
        <f>P16*20.5%</f>
      </c>
      <c r="T37" s="15"/>
      <c r="U37" s="119">
        <f>P37-'淘系'!O37-'淘系达播'!O37-'抖音'!O37-'抖音达播'!O37-'快手'!O37-'京东POP财经口径'!O37-'京东自营财经口径'!O37-PDD!O37-'得物'!O37-'视频号+官网+小程序'!O37-'唯品会'!O37-'线下门店-直营'!O37-'线下门店-经销'!O37-'线下渠道'!O37</f>
      </c>
      <c r="V37" s="70"/>
      <c r="W37" s="70"/>
    </row>
    <row r="38">
      <c r="A38" s="118"/>
      <c r="B38" s="117" t="str">
        <v>站内投放</v>
      </c>
      <c r="C38" s="117">
        <f>'淘系'!C38+'抖音'!C38+PDD!C38+'得物'!C38+'京东自营财经口径'!C38+'京东POP财经口径'!C38+'视频号+官网+小程序'!C38+'快手'!C38+'唯品会'!C38+'线下门店-直营'!C38+'线下门店-经销'!C38+'线下渠道'!C38+'淘系达播'!C38+'抖音达播'!C38</f>
      </c>
      <c r="D38" s="117"/>
      <c r="E38" s="117">
        <f>'淘系'!D38+'抖音'!D38+PDD!D38+'得物'!D38+'京东自营财经口径'!D38+'京东POP财经口径'!D38+'视频号+官网+小程序'!D38+'快手'!D38+'唯品会'!D38+'线下门店-直营'!D38+'线下门店-经销'!D38+'线下渠道'!D38+'淘系达播'!D38+'抖音达播'!D38</f>
      </c>
      <c r="F38" s="117">
        <f>'淘系'!E38+'抖音'!E38+PDD!E38+'得物'!E38+'京东自营财经口径'!E38+'京东POP财经口径'!E38+'视频号+官网+小程序'!E38+'快手'!E38+'唯品会'!E38+'线下门店-直营'!E38+'线下门店-经销'!E38+'线下渠道'!E38+'淘系达播'!E38+'抖音达播'!E38</f>
      </c>
      <c r="G38" s="117">
        <f>'淘系'!F38+'抖音'!F38+PDD!F38+'得物'!F38+'京东自营财经口径'!F38+'京东POP财经口径'!F38+'视频号+官网+小程序'!F38+'快手'!F38+'唯品会'!F38+'线下门店-直营'!F38+'线下门店-经销'!F38+'线下渠道'!F38+'淘系达播'!F38+'抖音达播'!F38</f>
      </c>
      <c r="H38" s="117">
        <f>'淘系'!G38+'抖音'!G38+PDD!G38+'得物'!G38+'京东自营财经口径'!G38+'京东POP财经口径'!G38+'视频号+官网+小程序'!G38+'快手'!G38+'唯品会'!G38+'线下门店-直营'!G38+'线下门店-经销'!G38+'线下渠道'!G38+'淘系达播'!G38+'抖音达播'!G38</f>
      </c>
      <c r="I38" s="117">
        <f>'淘系'!H38+'抖音'!H38+PDD!H38+'得物'!H38+'京东自营财经口径'!H38+'京东POP财经口径'!H38+'视频号+官网+小程序'!H38+'快手'!H38+'唯品会'!H38+'线下门店-直营'!H38+'线下门店-经销'!H38+'线下渠道'!H38+'淘系达播'!H38+'抖音达播'!H38</f>
      </c>
      <c r="J38" s="117">
        <f>'淘系'!I38+'抖音'!I38+PDD!I38+'得物'!I38+'京东自营财经口径'!I38+'京东POP财经口径'!I38+'视频号+官网+小程序'!I38+'快手'!I38+'唯品会'!I38+'线下门店-直营'!I38+'线下门店-经销'!I38+'线下渠道'!I38+'淘系达播'!I38+'抖音达播'!I38</f>
      </c>
      <c r="K38" s="117">
        <f>'淘系'!J38+'抖音'!J38+PDD!J38+'得物'!J38+'京东自营财经口径'!J38+'京东POP财经口径'!J38+'视频号+官网+小程序'!J38+'快手'!J38+'唯品会'!J38+'线下门店-直营'!J38+'线下门店-经销'!J38+'线下渠道'!J38+'淘系达播'!J38+'抖音达播'!J38</f>
      </c>
      <c r="L38" s="117">
        <f>'淘系'!K38+'抖音'!K38+PDD!K38+'得物'!K38+'京东自营财经口径'!K38+'京东POP财经口径'!K38+'视频号+官网+小程序'!K38+'快手'!K38+'唯品会'!K38+'线下门店-直营'!K38+'线下门店-经销'!K38+'线下渠道'!K38+'淘系达播'!K38+'抖音达播'!K38</f>
      </c>
      <c r="M38" s="117">
        <f>'淘系'!L38+'抖音'!L38+PDD!L38+'得物'!L38+'京东自营财经口径'!L38+'京东POP财经口径'!L38+'视频号+官网+小程序'!L38+'快手'!L38+'唯品会'!L38+'线下门店-直营'!L38+'线下门店-经销'!L38+'线下渠道'!L38+'淘系达播'!L38+'抖音达播'!L38</f>
      </c>
      <c r="N38" s="117">
        <f>'淘系'!M38+'抖音'!M38+PDD!M38+'得物'!M38+'京东自营财经口径'!M38+'京东POP财经口径'!M38+'视频号+官网+小程序'!M38+'快手'!M38+'唯品会'!M38+'线下门店-直营'!M38+'线下门店-经销'!M38+'线下渠道'!M38+'淘系达播'!M38+'抖音达播'!M38</f>
      </c>
      <c r="O38" s="117">
        <f>'淘系'!N38+'抖音'!N38+PDD!N38+'得物'!N38+'京东自营财经口径'!N38+'京东POP财经口径'!N38+'视频号+官网+小程序'!N38+'快手'!N38+'唯品会'!N38+'线下门店-直营'!N38+'线下门店-经销'!N38+'线下渠道'!N38+'淘系达播'!N38+'抖音达播'!N38</f>
      </c>
      <c r="P38" s="117">
        <f>SUM(C38:O38)</f>
      </c>
      <c r="Q38" s="120">
        <f>P38/$P$16</f>
      </c>
      <c r="R38" s="1" t="str">
        <v>投放填写</v>
      </c>
      <c r="S38">
        <f>P37-S37</f>
      </c>
      <c r="T38" s="15"/>
      <c r="U38" s="119">
        <f>P38-'淘系'!O38-'淘系达播'!O38-'抖音'!O38-'抖音达播'!O38-'快手'!O38-'京东POP财经口径'!O38-'京东自营财经口径'!O38-PDD!O38-'得物'!O38-'视频号+官网+小程序'!O38-'唯品会'!O38-'线下门店-直营'!O38-'线下门店-经销'!O38-'线下渠道'!O38</f>
      </c>
      <c r="V38" s="70"/>
      <c r="W38" s="70"/>
    </row>
    <row r="39">
      <c r="A39" s="118"/>
      <c r="B39" s="117" t="str">
        <v>千川投放</v>
      </c>
      <c r="C39" s="117">
        <f>'淘系'!C39+'抖音'!C39+PDD!C39+'得物'!C39+'京东自营财经口径'!C39+'京东POP财经口径'!C39+'视频号+官网+小程序'!C39+'快手'!C39+'唯品会'!C39+'线下门店-直营'!C39+'线下门店-经销'!C39+'线下渠道'!C39+'淘系达播'!C39+'抖音达播'!C39</f>
      </c>
      <c r="D39" s="117"/>
      <c r="E39" s="117">
        <f>'淘系'!D39+'抖音'!D39+PDD!D39+'得物'!D39+'京东自营财经口径'!D39+'京东POP财经口径'!D39+'视频号+官网+小程序'!D39+'快手'!D39+'唯品会'!D39+'线下门店-直营'!D39+'线下门店-经销'!D39+'线下渠道'!D39+'淘系达播'!D39+'抖音达播'!D39</f>
      </c>
      <c r="F39" s="117">
        <f>'淘系'!E39+'抖音'!E39+PDD!E39+'得物'!E39+'京东自营财经口径'!E39+'京东POP财经口径'!E39+'视频号+官网+小程序'!E39+'快手'!E39+'唯品会'!E39+'线下门店-直营'!E39+'线下门店-经销'!E39+'线下渠道'!E39+'淘系达播'!E39+'抖音达播'!E39</f>
      </c>
      <c r="G39" s="117">
        <f>'淘系'!F39+'抖音'!F39+PDD!F39+'得物'!F39+'京东自营财经口径'!F39+'京东POP财经口径'!F39+'视频号+官网+小程序'!F39+'快手'!F39+'唯品会'!F39+'线下门店-直营'!F39+'线下门店-经销'!F39+'线下渠道'!F39+'淘系达播'!F39+'抖音达播'!F39</f>
      </c>
      <c r="H39" s="117">
        <f>'淘系'!G39+'抖音'!G39+PDD!G39+'得物'!G39+'京东自营财经口径'!G39+'京东POP财经口径'!G39+'视频号+官网+小程序'!G39+'快手'!G39+'唯品会'!G39+'线下门店-直营'!G39+'线下门店-经销'!G39+'线下渠道'!G39+'淘系达播'!G39+'抖音达播'!G39</f>
      </c>
      <c r="I39" s="117">
        <f>'淘系'!H39+'抖音'!H39+PDD!H39+'得物'!H39+'京东自营财经口径'!H39+'京东POP财经口径'!H39+'视频号+官网+小程序'!H39+'快手'!H39+'唯品会'!H39+'线下门店-直营'!H39+'线下门店-经销'!H39+'线下渠道'!H39+'淘系达播'!H39+'抖音达播'!H39</f>
      </c>
      <c r="J39" s="117">
        <f>'淘系'!I39+'抖音'!I39+PDD!I39+'得物'!I39+'京东自营财经口径'!I39+'京东POP财经口径'!I39+'视频号+官网+小程序'!I39+'快手'!I39+'唯品会'!I39+'线下门店-直营'!I39+'线下门店-经销'!I39+'线下渠道'!I39+'淘系达播'!I39+'抖音达播'!I39</f>
      </c>
      <c r="K39" s="117">
        <f>'淘系'!J39+'抖音'!J39+PDD!J39+'得物'!J39+'京东自营财经口径'!J39+'京东POP财经口径'!J39+'视频号+官网+小程序'!J39+'快手'!J39+'唯品会'!J39+'线下门店-直营'!J39+'线下门店-经销'!J39+'线下渠道'!J39+'淘系达播'!J39+'抖音达播'!J39</f>
      </c>
      <c r="L39" s="117">
        <f>'淘系'!K39+'抖音'!K39+PDD!K39+'得物'!K39+'京东自营财经口径'!K39+'京东POP财经口径'!K39+'视频号+官网+小程序'!K39+'快手'!K39+'唯品会'!K39+'线下门店-直营'!K39+'线下门店-经销'!K39+'线下渠道'!K39+'淘系达播'!K39+'抖音达播'!K39</f>
      </c>
      <c r="M39" s="117">
        <f>'淘系'!L39+'抖音'!L39+PDD!L39+'得物'!L39+'京东自营财经口径'!L39+'京东POP财经口径'!L39+'视频号+官网+小程序'!L39+'快手'!L39+'唯品会'!L39+'线下门店-直营'!L39+'线下门店-经销'!L39+'线下渠道'!L39+'淘系达播'!L39+'抖音达播'!L39</f>
      </c>
      <c r="N39" s="117">
        <f>'淘系'!M39+'抖音'!M39+PDD!M39+'得物'!M39+'京东自营财经口径'!M39+'京东POP财经口径'!M39+'视频号+官网+小程序'!M39+'快手'!M39+'唯品会'!M39+'线下门店-直营'!M39+'线下门店-经销'!M39+'线下渠道'!M39+'淘系达播'!M39+'抖音达播'!M39</f>
      </c>
      <c r="O39" s="117">
        <f>'淘系'!N39+'抖音'!N39+PDD!N39+'得物'!N39+'京东自营财经口径'!N39+'京东POP财经口径'!N39+'视频号+官网+小程序'!N39+'快手'!N39+'唯品会'!N39+'线下门店-直营'!N39+'线下门店-经销'!N39+'线下渠道'!N39+'淘系达播'!N39+'抖音达播'!N39</f>
      </c>
      <c r="P39" s="117">
        <f>SUM(C39:O39)</f>
      </c>
      <c r="Q39" s="120">
        <f>P39/$P$16</f>
      </c>
      <c r="R39" s="1" t="str">
        <v>投放填写</v>
      </c>
      <c r="S39">
        <f>'淘系'!O31+'抖音'!O31+'京东自营财经口径'!O31</f>
      </c>
      <c r="T39" s="15"/>
      <c r="U39" s="119">
        <f>P39-'淘系'!O39-'淘系达播'!O39-'抖音'!O39-'抖音达播'!O39-'快手'!O39-'京东POP财经口径'!O39-'京东自营财经口径'!O39-PDD!O39-'得物'!O39-'视频号+官网+小程序'!O39-'唯品会'!O39-'线下门店-直营'!O39-'线下门店-经销'!O39-'线下渠道'!O39</f>
      </c>
      <c r="V39" s="70"/>
      <c r="W39" s="70"/>
    </row>
    <row r="40">
      <c r="A40" s="118"/>
      <c r="B40" s="117" t="str">
        <v>站外投放</v>
      </c>
      <c r="C40" s="117">
        <f>'淘系'!C40+'抖音'!C40+PDD!C40+'得物'!C40+'京东自营财经口径'!C40+'京东POP财经口径'!C40+'视频号+官网+小程序'!C40+'快手'!C40+'唯品会'!C40+'线下门店-直营'!C40+'线下门店-经销'!C40+'线下渠道'!C40+'淘系达播'!C40+'抖音达播'!C40</f>
      </c>
      <c r="D40" s="117"/>
      <c r="E40" s="117">
        <f>'淘系'!D40+'抖音'!D40+PDD!D40+'得物'!D40+'京东自营财经口径'!D40+'京东POP财经口径'!D40+'视频号+官网+小程序'!D40+'快手'!D40+'唯品会'!D40+'线下门店-直营'!D40+'线下门店-经销'!D40+'线下渠道'!D40+'淘系达播'!D40+'抖音达播'!D40</f>
      </c>
      <c r="F40" s="117">
        <f>'淘系'!E40+'抖音'!E40+PDD!E40+'得物'!E40+'京东自营财经口径'!E40+'京东POP财经口径'!E40+'视频号+官网+小程序'!E40+'快手'!E40+'唯品会'!E40+'线下门店-直营'!E40+'线下门店-经销'!E40+'线下渠道'!E40+'淘系达播'!E40+'抖音达播'!E40</f>
      </c>
      <c r="G40" s="117">
        <f>'淘系'!F40+'抖音'!F40+PDD!F40+'得物'!F40+'京东自营财经口径'!F40+'京东POP财经口径'!F40+'视频号+官网+小程序'!F40+'快手'!F40+'唯品会'!F40+'线下门店-直营'!F40+'线下门店-经销'!F40+'线下渠道'!F40+'淘系达播'!F40+'抖音达播'!F40</f>
      </c>
      <c r="H40" s="117">
        <f>'淘系'!G40+'抖音'!G40+PDD!G40+'得物'!G40+'京东自营财经口径'!G40+'京东POP财经口径'!G40+'视频号+官网+小程序'!G40+'快手'!G40+'唯品会'!G40+'线下门店-直营'!G40+'线下门店-经销'!G40+'线下渠道'!G40+'淘系达播'!G40+'抖音达播'!G40</f>
      </c>
      <c r="I40" s="117">
        <f>'淘系'!H40+'抖音'!H40+PDD!H40+'得物'!H40+'京东自营财经口径'!H40+'京东POP财经口径'!H40+'视频号+官网+小程序'!H40+'快手'!H40+'唯品会'!H40+'线下门店-直营'!H40+'线下门店-经销'!H40+'线下渠道'!H40+'淘系达播'!H40+'抖音达播'!H40</f>
      </c>
      <c r="J40" s="117">
        <f>'淘系'!I40+'抖音'!I40+PDD!I40+'得物'!I40+'京东自营财经口径'!I40+'京东POP财经口径'!I40+'视频号+官网+小程序'!I40+'快手'!I40+'唯品会'!I40+'线下门店-直营'!I40+'线下门店-经销'!I40+'线下渠道'!I40+'淘系达播'!I40+'抖音达播'!I40</f>
      </c>
      <c r="K40" s="117">
        <f>'淘系'!J40+'抖音'!J40+PDD!J40+'得物'!J40+'京东自营财经口径'!J40+'京东POP财经口径'!J40+'视频号+官网+小程序'!J40+'快手'!J40+'唯品会'!J40+'线下门店-直营'!J40+'线下门店-经销'!J40+'线下渠道'!J40+'淘系达播'!J40+'抖音达播'!J40</f>
      </c>
      <c r="L40" s="117">
        <f>'淘系'!K40+'抖音'!K40+PDD!K40+'得物'!K40+'京东自营财经口径'!K40+'京东POP财经口径'!K40+'视频号+官网+小程序'!K40+'快手'!K40+'唯品会'!K40+'线下门店-直营'!K40+'线下门店-经销'!K40+'线下渠道'!K40+'淘系达播'!K40+'抖音达播'!K40</f>
      </c>
      <c r="M40" s="117">
        <f>'淘系'!L40+'抖音'!L40+PDD!L40+'得物'!L40+'京东自营财经口径'!L40+'京东POP财经口径'!L40+'视频号+官网+小程序'!L40+'快手'!L40+'唯品会'!L40+'线下门店-直营'!L40+'线下门店-经销'!L40+'线下渠道'!L40+'淘系达播'!L40+'抖音达播'!L40</f>
      </c>
      <c r="N40" s="117">
        <f>'淘系'!M40+'抖音'!M40+PDD!M40+'得物'!M40+'京东自营财经口径'!M40+'京东POP财经口径'!M40+'视频号+官网+小程序'!M40+'快手'!M40+'唯品会'!M40+'线下门店-直营'!M40+'线下门店-经销'!M40+'线下渠道'!M40+'淘系达播'!M40+'抖音达播'!M40</f>
      </c>
      <c r="O40" s="117">
        <f>'淘系'!N40+'抖音'!N40+PDD!N40+'得物'!N40+'京东自营财经口径'!N40+'京东POP财经口径'!N40+'视频号+官网+小程序'!N40+'快手'!N40+'唯品会'!N40+'线下门店-直营'!N40+'线下门店-经销'!N40+'线下渠道'!N40+'淘系达播'!N40+'抖音达播'!N40</f>
      </c>
      <c r="P40" s="117">
        <f>SUM(C40:O40)</f>
      </c>
      <c r="Q40" s="120">
        <f>P40/$P$16</f>
      </c>
      <c r="R40" s="1" t="str">
        <v>投放填写</v>
      </c>
      <c r="S40">
        <f>'淘系'!O31</f>
      </c>
      <c r="T40">
        <f>S40/$S$39</f>
      </c>
      <c r="U40" s="119">
        <f>P40-'淘系'!O40-'淘系达播'!O40-'抖音'!O40-'抖音达播'!O40-'快手'!O40-'京东POP财经口径'!O40-'京东自营财经口径'!O40-PDD!O40-'得物'!O40-'视频号+官网+小程序'!O40-'唯品会'!O40-'线下门店-直营'!O40-'线下门店-经销'!O40-'线下渠道'!O40</f>
      </c>
      <c r="V40" s="70"/>
      <c r="W40" s="70"/>
    </row>
    <row outlineLevel="1" r="41">
      <c r="A41" s="118"/>
      <c r="B41" s="117" t="str">
        <v>站内投放（费率）</v>
      </c>
      <c r="C41" s="120">
        <f>C38/C$16</f>
      </c>
      <c r="D41" s="120"/>
      <c r="E41" s="120">
        <f>E38/E$16</f>
      </c>
      <c r="F41" s="120">
        <f>F38/F$16</f>
      </c>
      <c r="G41" s="120">
        <f>G38/G$16</f>
      </c>
      <c r="H41" s="120">
        <f>H38/H$16</f>
      </c>
      <c r="I41" s="120">
        <f>I38/I$16</f>
      </c>
      <c r="J41" s="120">
        <f>J38/J$16</f>
      </c>
      <c r="K41" s="120">
        <f>K38/K$16</f>
      </c>
      <c r="L41" s="120">
        <f>L38/L$16</f>
      </c>
      <c r="M41" s="120">
        <f>M38/M$16</f>
      </c>
      <c r="N41" s="120">
        <f>N38/N$16</f>
      </c>
      <c r="O41" s="120">
        <f>O38/O$16</f>
      </c>
      <c r="P41" s="120">
        <f>P38/$P$16</f>
      </c>
      <c r="Q41" s="120"/>
      <c r="R41" s="1" t="str">
        <v>投放填写</v>
      </c>
      <c r="T41">
        <f>S41/$S$39</f>
      </c>
      <c r="U41" s="119">
        <f>P41-'淘系'!O41-'淘系达播'!O41-'抖音'!O41-'抖音达播'!O41-'快手'!O41-'京东POP财经口径'!O41-'京东自营财经口径'!O41-PDD!O41-'得物'!O41-'视频号+官网+小程序'!O41-'唯品会'!O41-'线下门店-直营'!O41-'线下门店-经销'!O41-'线下渠道'!O41</f>
      </c>
    </row>
    <row outlineLevel="1" r="42">
      <c r="A42" s="118"/>
      <c r="B42" s="117" t="str">
        <v>千川投放（费率）</v>
      </c>
      <c r="C42" s="120">
        <f>C39/C$16</f>
      </c>
      <c r="D42" s="120"/>
      <c r="E42" s="120">
        <f>E39/E$16</f>
      </c>
      <c r="F42" s="120">
        <f>F39/F$16</f>
      </c>
      <c r="G42" s="120">
        <f>G39/G$16</f>
      </c>
      <c r="H42" s="120">
        <f>H39/H$16</f>
      </c>
      <c r="I42" s="120">
        <f>I39/I$16</f>
      </c>
      <c r="J42" s="120">
        <f>J39/J$16</f>
      </c>
      <c r="K42" s="120">
        <f>K39/K$16</f>
      </c>
      <c r="L42" s="120">
        <f>L39/L$16</f>
      </c>
      <c r="M42" s="120">
        <f>M39/M$16</f>
      </c>
      <c r="N42" s="120">
        <f>N39/N$16</f>
      </c>
      <c r="O42" s="120">
        <f>O39/O$16</f>
      </c>
      <c r="P42" s="120">
        <f>P39/$P$16</f>
      </c>
      <c r="Q42" s="120"/>
      <c r="R42" s="1" t="str">
        <v>投放填写</v>
      </c>
      <c r="T42">
        <f>S42/$S$39</f>
      </c>
      <c r="U42" s="119">
        <f>P42-'淘系'!O42-'淘系达播'!O42-'抖音'!O42-'抖音达播'!O42-'快手'!O42-'京东POP财经口径'!O42-'京东自营财经口径'!O42-PDD!O42-'得物'!O42-'视频号+官网+小程序'!O42-'唯品会'!O42-'线下门店-直营'!O42-'线下门店-经销'!O42-'线下渠道'!O42</f>
      </c>
    </row>
    <row outlineLevel="1" r="43">
      <c r="A43" s="118"/>
      <c r="B43" s="117" t="str">
        <v>站外投放（费率）</v>
      </c>
      <c r="C43" s="120">
        <f>C40/C$16</f>
      </c>
      <c r="D43" s="120"/>
      <c r="E43" s="120">
        <f>E40/E$16</f>
      </c>
      <c r="F43" s="120">
        <f>F40/F$16</f>
      </c>
      <c r="G43" s="120">
        <f>G40/G$16</f>
      </c>
      <c r="H43" s="120">
        <f>H40/H$16</f>
      </c>
      <c r="I43" s="120">
        <f>I40/I$16</f>
      </c>
      <c r="J43" s="120">
        <f>J40/J$16</f>
      </c>
      <c r="K43" s="120">
        <f>K40/K$16</f>
      </c>
      <c r="L43" s="120">
        <f>L40/L$16</f>
      </c>
      <c r="M43" s="120">
        <f>M40/M$16</f>
      </c>
      <c r="N43" s="120">
        <f>N40/N$16</f>
      </c>
      <c r="O43" s="120">
        <f>O40/O$16</f>
      </c>
      <c r="P43" s="120">
        <f>P40/$P$16</f>
      </c>
      <c r="Q43" s="120"/>
      <c r="R43" s="1" t="str">
        <v>投放填写</v>
      </c>
      <c r="T43">
        <f>S43/$S$39</f>
      </c>
      <c r="U43" s="119">
        <f>P43-'淘系'!O43-'淘系达播'!O43-'抖音'!O43-'抖音达播'!O43-'快手'!O43-'京东POP财经口径'!O43-'京东自营财经口径'!O43-PDD!O43-'得物'!O43-'视频号+官网+小程序'!O43-'唯品会'!O43-'线下门店-直营'!O43-'线下门店-经销'!O43-'线下渠道'!O43</f>
      </c>
    </row>
    <row r="44">
      <c r="A44" s="1"/>
      <c r="B44" s="129" t="str">
        <v>线上营销费用</v>
      </c>
      <c r="C44" s="129">
        <f>SUM(C45:C46)</f>
      </c>
      <c r="D44" s="128">
        <f>C44/C$16</f>
      </c>
      <c r="E44" s="129">
        <f>SUM(E45:E46)</f>
      </c>
      <c r="F44" s="129">
        <f>SUM(F45:F46)</f>
      </c>
      <c r="G44" s="129">
        <f>SUM(G45:G46)</f>
      </c>
      <c r="H44" s="129">
        <f>SUM(H45:H46)</f>
      </c>
      <c r="I44" s="129">
        <f>SUM(I45:I46)</f>
      </c>
      <c r="J44" s="129">
        <f>SUM(J45:J46)</f>
      </c>
      <c r="K44" s="129">
        <f>SUM(K45:K46)</f>
      </c>
      <c r="L44" s="129">
        <f>SUM(L45:L46)</f>
      </c>
      <c r="M44" s="129">
        <f>SUM(M45:M46)</f>
      </c>
      <c r="N44" s="129">
        <f>SUM(N45:N46)</f>
      </c>
      <c r="O44" s="129">
        <f>SUM(O45:O46)</f>
      </c>
      <c r="P44" s="129">
        <f>SUM(C44:O44)</f>
      </c>
      <c r="Q44" s="128">
        <f>P44/$P$16</f>
      </c>
      <c r="R44" s="1"/>
      <c r="S44">
        <f>'抖音'!O31</f>
      </c>
      <c r="T44">
        <f>S44/$S$39</f>
      </c>
      <c r="U44" s="119">
        <f>P44-'淘系'!O44-'淘系达播'!O44-'抖音'!O44-'抖音达播'!O44-'快手'!O44-'京东POP财经口径'!O44-'京东自营财经口径'!O44-PDD!O44-'得物'!O44-'视频号+官网+小程序'!O44-'唯品会'!O44-'线下门店-直营'!O44-'线下门店-经销'!O44-'线下渠道'!O44</f>
      </c>
    </row>
    <row r="45">
      <c r="A45" s="118"/>
      <c r="B45" s="117" t="str">
        <v>直播费用</v>
      </c>
      <c r="C45" s="117">
        <f>'淘系'!C45+'抖音'!C45+PDD!C45+'得物'!C45+'京东自营财经口径'!C45+'京东POP财经口径'!C45+'视频号+官网+小程序'!C45+'快手'!C45+'唯品会'!C45+'线下门店-直营'!C45+'线下门店-经销'!C45+'线下渠道'!C45+'淘系达播'!C45+'抖音达播'!C45</f>
      </c>
      <c r="D45" s="117"/>
      <c r="E45" s="117">
        <f>'淘系'!D45+'抖音'!D45+PDD!D45+'得物'!D45+'京东自营财经口径'!D45+'京东POP财经口径'!D45+'视频号+官网+小程序'!D45+'快手'!D45+'唯品会'!D45+'线下门店-直营'!D45+'线下门店-经销'!D45+'线下渠道'!D45+'淘系达播'!D45+'抖音达播'!D45</f>
      </c>
      <c r="F45" s="117">
        <f>'淘系'!E45+'抖音'!E45+PDD!E45+'得物'!E45+'京东自营财经口径'!E45+'京东POP财经口径'!E45+'视频号+官网+小程序'!E45+'快手'!E45+'唯品会'!E45+'线下门店-直营'!E45+'线下门店-经销'!E45+'线下渠道'!E45+'淘系达播'!E45+'抖音达播'!E45</f>
      </c>
      <c r="G45" s="117">
        <f>'淘系'!F45+'抖音'!F45+PDD!F45+'得物'!F45+'京东自营财经口径'!F45+'京东POP财经口径'!F45+'视频号+官网+小程序'!F45+'快手'!F45+'唯品会'!F45+'线下门店-直营'!F45+'线下门店-经销'!F45+'线下渠道'!F45+'淘系达播'!F45+'抖音达播'!F45</f>
      </c>
      <c r="H45" s="117">
        <f>'淘系'!G45+'抖音'!G45+PDD!G45+'得物'!G45+'京东自营财经口径'!G45+'京东POP财经口径'!G45+'视频号+官网+小程序'!G45+'快手'!G45+'唯品会'!G45+'线下门店-直营'!G45+'线下门店-经销'!G45+'线下渠道'!G45+'淘系达播'!G45+'抖音达播'!G45</f>
      </c>
      <c r="I45" s="117">
        <f>'淘系'!H45+'抖音'!H45+PDD!H45+'得物'!H45+'京东自营财经口径'!H45+'京东POP财经口径'!H45+'视频号+官网+小程序'!H45+'快手'!H45+'唯品会'!H45+'线下门店-直营'!H45+'线下门店-经销'!H45+'线下渠道'!H45+'淘系达播'!H45+'抖音达播'!H45</f>
      </c>
      <c r="J45" s="117">
        <f>'淘系'!I45+'抖音'!I45+PDD!I45+'得物'!I45+'京东自营财经口径'!I45+'京东POP财经口径'!I45+'视频号+官网+小程序'!I45+'快手'!I45+'唯品会'!I45+'线下门店-直营'!I45+'线下门店-经销'!I45+'线下渠道'!I45+'淘系达播'!I45+'抖音达播'!I45</f>
      </c>
      <c r="K45" s="117">
        <f>'淘系'!J45+'抖音'!J45+PDD!J45+'得物'!J45+'京东自营财经口径'!J45+'京东POP财经口径'!J45+'视频号+官网+小程序'!J45+'快手'!J45+'唯品会'!J45+'线下门店-直营'!J45+'线下门店-经销'!J45+'线下渠道'!J45+'淘系达播'!J45+'抖音达播'!J45</f>
      </c>
      <c r="L45" s="117">
        <f>'淘系'!K45+'抖音'!K45+PDD!K45+'得物'!K45+'京东自营财经口径'!K45+'京东POP财经口径'!K45+'视频号+官网+小程序'!K45+'快手'!K45+'唯品会'!K45+'线下门店-直营'!K45+'线下门店-经销'!K45+'线下渠道'!K45+'淘系达播'!K45+'抖音达播'!K45</f>
      </c>
      <c r="M45" s="117">
        <f>'淘系'!L45+'抖音'!L45+PDD!L45+'得物'!L45+'京东自营财经口径'!L45+'京东POP财经口径'!L45+'视频号+官网+小程序'!L45+'快手'!L45+'唯品会'!L45+'线下门店-直营'!L45+'线下门店-经销'!L45+'线下渠道'!L45+'淘系达播'!L45+'抖音达播'!L45</f>
      </c>
      <c r="N45" s="117">
        <f>'淘系'!M45+'抖音'!M45+PDD!M45+'得物'!M45+'京东自营财经口径'!M45+'京东POP财经口径'!M45+'视频号+官网+小程序'!M45+'快手'!M45+'唯品会'!M45+'线下门店-直营'!M45+'线下门店-经销'!M45+'线下渠道'!M45+'淘系达播'!M45+'抖音达播'!M45</f>
      </c>
      <c r="O45" s="117">
        <f>'淘系'!N45+'抖音'!N45+PDD!N45+'得物'!N45+'京东自营财经口径'!N45+'京东POP财经口径'!N45+'视频号+官网+小程序'!N45+'快手'!N45+'唯品会'!N45+'线下门店-直营'!N45+'线下门店-经销'!N45+'线下渠道'!N45+'淘系达播'!N45+'抖音达播'!N45</f>
      </c>
      <c r="P45" s="117">
        <f>SUM(C45:O45)</f>
      </c>
      <c r="Q45" s="120">
        <f>P45/$P$16</f>
      </c>
      <c r="R45" s="1" t="str">
        <v>达人填写</v>
      </c>
      <c r="S45">
        <f>'京东自营财经口径'!O31</f>
      </c>
      <c r="T45">
        <f>S45/$S$39</f>
      </c>
      <c r="U45" s="119">
        <f>P45-'淘系'!O45-'淘系达播'!O45-'抖音'!O45-'抖音达播'!O45-'快手'!O45-'京东POP财经口径'!O45-'京东自营财经口径'!O45-PDD!O45-'得物'!O45-'视频号+官网+小程序'!O45-'唯品会'!O45-'线下门店-直营'!O45-'线下门店-经销'!O45-'线下渠道'!O45</f>
      </c>
    </row>
    <row r="46">
      <c r="A46" s="118"/>
      <c r="B46" s="117" t="str">
        <v>赠品费用</v>
      </c>
      <c r="C46" s="117">
        <f>'淘系'!C46+'抖音'!C46+PDD!C46+'得物'!C46+'京东自营财经口径'!C46+'京东POP财经口径'!C46+'视频号+官网+小程序'!C46+'快手'!C46+'唯品会'!C46+'线下门店-直营'!C46+'线下门店-经销'!C46+'线下渠道'!C46+'淘系达播'!C46+'抖音达播'!C46</f>
      </c>
      <c r="D46" s="117"/>
      <c r="E46" s="117">
        <f>'淘系'!D46+'抖音'!D46+PDD!D46+'得物'!D46+'京东自营财经口径'!D46+'京东POP财经口径'!D46+'视频号+官网+小程序'!D46+'快手'!D46+'唯品会'!D46+'线下门店-直营'!D46+'线下门店-经销'!D46+'线下渠道'!D46+'淘系达播'!D46+'抖音达播'!D46</f>
      </c>
      <c r="F46" s="117">
        <f>'淘系'!E46+'抖音'!E46+PDD!E46+'得物'!E46+'京东自营财经口径'!E46+'京东POP财经口径'!E46+'视频号+官网+小程序'!E46+'快手'!E46+'唯品会'!E46+'线下门店-直营'!E46+'线下门店-经销'!E46+'线下渠道'!E46+'淘系达播'!E46+'抖音达播'!E46</f>
      </c>
      <c r="G46" s="117">
        <f>'淘系'!F46+'抖音'!F46+PDD!F46+'得物'!F46+'京东自营财经口径'!F46+'京东POP财经口径'!F46+'视频号+官网+小程序'!F46+'快手'!F46+'唯品会'!F46+'线下门店-直营'!F46+'线下门店-经销'!F46+'线下渠道'!F46+'淘系达播'!F46+'抖音达播'!F46</f>
      </c>
      <c r="H46" s="117">
        <f>'淘系'!G46+'抖音'!G46+PDD!G46+'得物'!G46+'京东自营财经口径'!G46+'京东POP财经口径'!G46+'视频号+官网+小程序'!G46+'快手'!G46+'唯品会'!G46+'线下门店-直营'!G46+'线下门店-经销'!G46+'线下渠道'!G46+'淘系达播'!G46+'抖音达播'!G46</f>
      </c>
      <c r="I46" s="117">
        <f>'淘系'!H46+'抖音'!H46+PDD!H46+'得物'!H46+'京东自营财经口径'!H46+'京东POP财经口径'!H46+'视频号+官网+小程序'!H46+'快手'!H46+'唯品会'!H46+'线下门店-直营'!H46+'线下门店-经销'!H46+'线下渠道'!H46+'淘系达播'!H46+'抖音达播'!H46</f>
      </c>
      <c r="J46" s="117">
        <f>'淘系'!I46+'抖音'!I46+PDD!I46+'得物'!I46+'京东自营财经口径'!I46+'京东POP财经口径'!I46+'视频号+官网+小程序'!I46+'快手'!I46+'唯品会'!I46+'线下门店-直营'!I46+'线下门店-经销'!I46+'线下渠道'!I46+'淘系达播'!I46+'抖音达播'!I46</f>
      </c>
      <c r="K46" s="117">
        <f>'淘系'!J46+'抖音'!J46+PDD!J46+'得物'!J46+'京东自营财经口径'!J46+'京东POP财经口径'!J46+'视频号+官网+小程序'!J46+'快手'!J46+'唯品会'!J46+'线下门店-直营'!J46+'线下门店-经销'!J46+'线下渠道'!J46+'淘系达播'!J46+'抖音达播'!J46</f>
      </c>
      <c r="L46" s="117">
        <f>'淘系'!K46+'抖音'!K46+PDD!K46+'得物'!K46+'京东自营财经口径'!K46+'京东POP财经口径'!K46+'视频号+官网+小程序'!K46+'快手'!K46+'唯品会'!K46+'线下门店-直营'!K46+'线下门店-经销'!K46+'线下渠道'!K46+'淘系达播'!K46+'抖音达播'!K46</f>
      </c>
      <c r="M46" s="117">
        <f>'淘系'!L46+'抖音'!L46+PDD!L46+'得物'!L46+'京东自营财经口径'!L46+'京东POP财经口径'!L46+'视频号+官网+小程序'!L46+'快手'!L46+'唯品会'!L46+'线下门店-直营'!L46+'线下门店-经销'!L46+'线下渠道'!L46+'淘系达播'!L46+'抖音达播'!L46</f>
      </c>
      <c r="N46" s="117">
        <f>'淘系'!M46+'抖音'!M46+PDD!M46+'得物'!M46+'京东自营财经口径'!M46+'京东POP财经口径'!M46+'视频号+官网+小程序'!M46+'快手'!M46+'唯品会'!M46+'线下门店-直营'!M46+'线下门店-经销'!M46+'线下渠道'!M46+'淘系达播'!M46+'抖音达播'!M46</f>
      </c>
      <c r="O46" s="117">
        <f>'淘系'!N46+'抖音'!N46+PDD!N46+'得物'!N46+'京东自营财经口径'!N46+'京东POP财经口径'!N46+'视频号+官网+小程序'!N46+'快手'!N46+'唯品会'!N46+'线下门店-直营'!N46+'线下门店-经销'!N46+'线下渠道'!N46+'淘系达播'!N46+'抖音达播'!N46</f>
      </c>
      <c r="P46" s="117">
        <f>SUM(C46:O46)</f>
      </c>
      <c r="Q46" s="120">
        <f>P46/$P$16</f>
      </c>
      <c r="R46" s="90" t="str">
        <v>渠道填写</v>
      </c>
      <c r="U46" s="119">
        <f>P46-'淘系'!O46-'淘系达播'!O46-'抖音'!O46-'抖音达播'!O46-'快手'!O46-'京东POP财经口径'!O46-'京东自营财经口径'!O46-PDD!O46-'得物'!O46-'视频号+官网+小程序'!O46-'唯品会'!O46-'线下门店-直营'!O46-'线下门店-经销'!O46-'线下渠道'!O46</f>
      </c>
    </row>
    <row customHeight="true" ht="20" r="47">
      <c r="A47" s="118"/>
      <c r="B47" s="117" t="str">
        <v>直播费用（费率）</v>
      </c>
      <c r="C47" s="120">
        <f>C45/C$16</f>
      </c>
      <c r="D47" s="120"/>
      <c r="E47" s="120">
        <f>E45/E$16</f>
      </c>
      <c r="F47" s="120">
        <f>F45/F$16</f>
      </c>
      <c r="G47" s="120">
        <f>G45/G$16</f>
      </c>
      <c r="H47" s="120">
        <f>H45/H$16</f>
      </c>
      <c r="I47" s="120">
        <f>I45/I$16</f>
      </c>
      <c r="J47" s="120">
        <f>J45/J$16</f>
      </c>
      <c r="K47" s="120">
        <f>K45/K$16</f>
      </c>
      <c r="L47" s="120">
        <f>L45/L$16</f>
      </c>
      <c r="M47" s="120">
        <f>M45/M$16</f>
      </c>
      <c r="N47" s="120">
        <f>N45/N$16</f>
      </c>
      <c r="O47" s="120">
        <f>O45/O$16</f>
      </c>
      <c r="P47" s="120">
        <f>P45/P$16</f>
      </c>
      <c r="Q47" s="120"/>
      <c r="R47" s="90"/>
      <c r="U47" s="119"/>
    </row>
    <row customHeight="true" ht="20" r="48">
      <c r="A48" s="118"/>
      <c r="B48" s="117" t="str">
        <v>赠品费用（费率）</v>
      </c>
      <c r="C48" s="120">
        <f>C46/C$16</f>
      </c>
      <c r="D48" s="120"/>
      <c r="E48" s="120">
        <f>E46/E$16</f>
      </c>
      <c r="F48" s="120">
        <f>F46/F$16</f>
      </c>
      <c r="G48" s="120">
        <f>G46/G$16</f>
      </c>
      <c r="H48" s="120">
        <f>H46/H$16</f>
      </c>
      <c r="I48" s="120">
        <f>I46/I$16</f>
      </c>
      <c r="J48" s="120">
        <f>J46/J$16</f>
      </c>
      <c r="K48" s="120">
        <f>K46/K$16</f>
      </c>
      <c r="L48" s="120">
        <f>L46/L$16</f>
      </c>
      <c r="M48" s="120">
        <f>M46/M$16</f>
      </c>
      <c r="N48" s="120">
        <f>N46/N$16</f>
      </c>
      <c r="O48" s="120">
        <f>O46/O$16</f>
      </c>
      <c r="P48" s="120">
        <f>P46/P$16</f>
      </c>
      <c r="Q48" s="120"/>
      <c r="R48" s="90"/>
      <c r="U48" s="119"/>
    </row>
    <row r="49">
      <c r="A49" s="1"/>
      <c r="B49" s="129" t="str">
        <v>线下市场费用</v>
      </c>
      <c r="C49" s="129">
        <f>SUM(C50:C53)</f>
      </c>
      <c r="D49" s="128">
        <f>C49/C$16</f>
      </c>
      <c r="E49" s="129">
        <f>SUM(E50:E53)</f>
      </c>
      <c r="F49" s="129">
        <f>SUM(F50:F53)</f>
      </c>
      <c r="G49" s="129">
        <f>SUM(G50:G53)</f>
      </c>
      <c r="H49" s="129">
        <f>SUM(H50:H53)</f>
      </c>
      <c r="I49" s="129">
        <f>SUM(I50:I53)</f>
      </c>
      <c r="J49" s="129">
        <f>SUM(J50:J53)</f>
      </c>
      <c r="K49" s="129">
        <f>SUM(K50:K53)</f>
      </c>
      <c r="L49" s="129">
        <f>SUM(L50:L53)</f>
      </c>
      <c r="M49" s="129">
        <f>SUM(M50:M53)</f>
      </c>
      <c r="N49" s="129">
        <f>SUM(N50:N53)</f>
      </c>
      <c r="O49" s="129">
        <f>SUM(O50:O53)</f>
      </c>
      <c r="P49" s="129">
        <f>SUM(C49:O49)</f>
      </c>
      <c r="Q49" s="128">
        <f>P49/$P$16</f>
      </c>
      <c r="R49" s="1"/>
      <c r="S49">
        <f>$S$38*T40+S40</f>
      </c>
      <c r="U49" s="119">
        <f>P49-'淘系'!O47-'淘系达播'!O47-'抖音'!O47-'抖音达播'!O47-'快手'!O47-'京东POP财经口径'!O47-'京东自营财经口径'!O47-PDD!O47-'得物'!O47-'视频号+官网+小程序'!O47-'唯品会'!O47-'线下门店-直营'!O47-'线下门店-经销'!O47-'线下渠道'!O47</f>
      </c>
    </row>
    <row r="50">
      <c r="A50" s="118"/>
      <c r="B50" s="117" t="str">
        <v>线下渠道展陈、促销费用</v>
      </c>
      <c r="C50" s="117">
        <f>'淘系'!C48+'抖音'!C48+PDD!C48+'得物'!C48+'京东自营财经口径'!C48+'京东POP财经口径'!C48+'视频号+官网+小程序'!C48+'快手'!C48+'唯品会'!C48+'线下门店-直营'!C48+'线下门店-经销'!C48+'线下渠道'!C48+'淘系达播'!C48+'抖音达播'!C48</f>
      </c>
      <c r="D50" s="117"/>
      <c r="E50" s="117">
        <f>'淘系'!D48+'抖音'!D48+PDD!D48+'得物'!D48+'京东自营财经口径'!D48+'京东POP财经口径'!D48+'视频号+官网+小程序'!D48+'快手'!D48+'唯品会'!D48+'线下门店-直营'!D48+'线下门店-经销'!D48+'线下渠道'!D48+'淘系达播'!D48+'抖音达播'!D48</f>
      </c>
      <c r="F50" s="117">
        <f>'淘系'!E48+'抖音'!E48+PDD!E48+'得物'!E48+'京东自营财经口径'!E48+'京东POP财经口径'!E48+'视频号+官网+小程序'!E48+'快手'!E48+'唯品会'!E48+'线下门店-直营'!E48+'线下门店-经销'!E48+'线下渠道'!E48+'淘系达播'!E48+'抖音达播'!E48</f>
      </c>
      <c r="G50" s="117">
        <f>'淘系'!F48+'抖音'!F48+PDD!F48+'得物'!F48+'京东自营财经口径'!F48+'京东POP财经口径'!F48+'视频号+官网+小程序'!F48+'快手'!F48+'唯品会'!F48+'线下门店-直营'!F48+'线下门店-经销'!F48+'线下渠道'!F48+'淘系达播'!F48+'抖音达播'!F48</f>
      </c>
      <c r="H50" s="117">
        <f>'淘系'!G48+'抖音'!G48+PDD!G48+'得物'!G48+'京东自营财经口径'!G48+'京东POP财经口径'!G48+'视频号+官网+小程序'!G48+'快手'!G48+'唯品会'!G48+'线下门店-直营'!G48+'线下门店-经销'!G48+'线下渠道'!G48+'淘系达播'!G48+'抖音达播'!G48</f>
      </c>
      <c r="I50" s="117">
        <f>'淘系'!H48+'抖音'!H48+PDD!H48+'得物'!H48+'京东自营财经口径'!H48+'京东POP财经口径'!H48+'视频号+官网+小程序'!H48+'快手'!H48+'唯品会'!H48+'线下门店-直营'!H48+'线下门店-经销'!H48+'线下渠道'!H48+'淘系达播'!H48+'抖音达播'!H48</f>
      </c>
      <c r="J50" s="117">
        <f>'淘系'!I48+'抖音'!I48+PDD!I48+'得物'!I48+'京东自营财经口径'!I48+'京东POP财经口径'!I48+'视频号+官网+小程序'!I48+'快手'!I48+'唯品会'!I48+'线下门店-直营'!I48+'线下门店-经销'!I48+'线下渠道'!I48+'淘系达播'!I48+'抖音达播'!I48</f>
      </c>
      <c r="K50" s="117">
        <f>'淘系'!J48+'抖音'!J48+PDD!J48+'得物'!J48+'京东自营财经口径'!J48+'京东POP财经口径'!J48+'视频号+官网+小程序'!J48+'快手'!J48+'唯品会'!J48+'线下门店-直营'!J48+'线下门店-经销'!J48+'线下渠道'!J48+'淘系达播'!J48+'抖音达播'!J48</f>
      </c>
      <c r="L50" s="117">
        <f>'淘系'!K48+'抖音'!K48+PDD!K48+'得物'!K48+'京东自营财经口径'!K48+'京东POP财经口径'!K48+'视频号+官网+小程序'!K48+'快手'!K48+'唯品会'!K48+'线下门店-直营'!K48+'线下门店-经销'!K48+'线下渠道'!K48+'淘系达播'!K48+'抖音达播'!K48</f>
      </c>
      <c r="M50" s="117">
        <f>'淘系'!L48+'抖音'!L48+PDD!L48+'得物'!L48+'京东自营财经口径'!L48+'京东POP财经口径'!L48+'视频号+官网+小程序'!L48+'快手'!L48+'唯品会'!L48+'线下门店-直营'!L48+'线下门店-经销'!L48+'线下渠道'!L48+'淘系达播'!L48+'抖音达播'!L48</f>
      </c>
      <c r="N50" s="117">
        <f>'淘系'!M48+'抖音'!M48+PDD!M48+'得物'!M48+'京东自营财经口径'!M48+'京东POP财经口径'!M48+'视频号+官网+小程序'!M48+'快手'!M48+'唯品会'!M48+'线下门店-直营'!M48+'线下门店-经销'!M48+'线下渠道'!M48+'淘系达播'!M48+'抖音达播'!M48</f>
      </c>
      <c r="O50" s="117">
        <f>'淘系'!N48+'抖音'!N48+PDD!N48+'得物'!N48+'京东自营财经口径'!N48+'京东POP财经口径'!N48+'视频号+官网+小程序'!N48+'快手'!N48+'唯品会'!N48+'线下门店-直营'!N48+'线下门店-经销'!N48+'线下渠道'!N48+'淘系达播'!N48+'抖音达播'!N48</f>
      </c>
      <c r="P50" s="117">
        <f>SUM(C50:O50)</f>
      </c>
      <c r="Q50" s="120">
        <f>P50/$P$16</f>
      </c>
      <c r="R50" s="90" t="str">
        <v>线下门店</v>
      </c>
      <c r="S50">
        <f>S38*T44+S44</f>
      </c>
      <c r="U50" s="119">
        <f>P50-'淘系'!O48-'淘系达播'!O48-'抖音'!O48-'抖音达播'!O48-'快手'!O48-'京东POP财经口径'!O48-'京东自营财经口径'!O48-PDD!O48-'得物'!O48-'视频号+官网+小程序'!O48-'唯品会'!O48-'线下门店-直营'!O48-'线下门店-经销'!O48-'线下渠道'!O48</f>
      </c>
    </row>
    <row r="51">
      <c r="A51" s="118"/>
      <c r="B51" s="117" t="str">
        <v>租金+物业+水电</v>
      </c>
      <c r="C51" s="117">
        <f>'淘系'!C49+'抖音'!C49+PDD!C49+'得物'!C49+'京东自营财经口径'!C49+'京东POP财经口径'!C49+'视频号+官网+小程序'!C49+'快手'!C49+'唯品会'!C49+'线下门店-直营'!C49+'线下门店-经销'!C49+'线下渠道'!C49+'淘系达播'!C49+'抖音达播'!C49</f>
      </c>
      <c r="D51" s="117"/>
      <c r="E51" s="117">
        <f>'淘系'!D49+'抖音'!D49+PDD!D49+'得物'!D49+'京东自营财经口径'!D49+'京东POP财经口径'!D49+'视频号+官网+小程序'!D49+'快手'!D49+'唯品会'!D49+'线下门店-直营'!D49+'线下门店-经销'!D49+'线下渠道'!D49+'淘系达播'!D49+'抖音达播'!D49</f>
      </c>
      <c r="F51" s="117">
        <f>'淘系'!E49+'抖音'!E49+PDD!E49+'得物'!E49+'京东自营财经口径'!E49+'京东POP财经口径'!E49+'视频号+官网+小程序'!E49+'快手'!E49+'唯品会'!E49+'线下门店-直营'!E49+'线下门店-经销'!E49+'线下渠道'!E49+'淘系达播'!E49+'抖音达播'!E49</f>
      </c>
      <c r="G51" s="117">
        <f>'淘系'!F49+'抖音'!F49+PDD!F49+'得物'!F49+'京东自营财经口径'!F49+'京东POP财经口径'!F49+'视频号+官网+小程序'!F49+'快手'!F49+'唯品会'!F49+'线下门店-直营'!F49+'线下门店-经销'!F49+'线下渠道'!F49+'淘系达播'!F49+'抖音达播'!F49</f>
      </c>
      <c r="H51" s="117">
        <f>'淘系'!G49+'抖音'!G49+PDD!G49+'得物'!G49+'京东自营财经口径'!G49+'京东POP财经口径'!G49+'视频号+官网+小程序'!G49+'快手'!G49+'唯品会'!G49+'线下门店-直营'!G49+'线下门店-经销'!G49+'线下渠道'!G49+'淘系达播'!G49+'抖音达播'!G49</f>
      </c>
      <c r="I51" s="117">
        <f>'淘系'!H49+'抖音'!H49+PDD!H49+'得物'!H49+'京东自营财经口径'!H49+'京东POP财经口径'!H49+'视频号+官网+小程序'!H49+'快手'!H49+'唯品会'!H49+'线下门店-直营'!H49+'线下门店-经销'!H49+'线下渠道'!H49+'淘系达播'!H49+'抖音达播'!H49</f>
      </c>
      <c r="J51" s="117">
        <f>'淘系'!I49+'抖音'!I49+PDD!I49+'得物'!I49+'京东自营财经口径'!I49+'京东POP财经口径'!I49+'视频号+官网+小程序'!I49+'快手'!I49+'唯品会'!I49+'线下门店-直营'!I49+'线下门店-经销'!I49+'线下渠道'!I49+'淘系达播'!I49+'抖音达播'!I49</f>
      </c>
      <c r="K51" s="117">
        <f>'淘系'!J49+'抖音'!J49+PDD!J49+'得物'!J49+'京东自营财经口径'!J49+'京东POP财经口径'!J49+'视频号+官网+小程序'!J49+'快手'!J49+'唯品会'!J49+'线下门店-直营'!J49+'线下门店-经销'!J49+'线下渠道'!J49+'淘系达播'!J49+'抖音达播'!J49</f>
      </c>
      <c r="L51" s="117">
        <f>'淘系'!K49+'抖音'!K49+PDD!K49+'得物'!K49+'京东自营财经口径'!K49+'京东POP财经口径'!K49+'视频号+官网+小程序'!K49+'快手'!K49+'唯品会'!K49+'线下门店-直营'!K49+'线下门店-经销'!K49+'线下渠道'!K49+'淘系达播'!K49+'抖音达播'!K49</f>
      </c>
      <c r="M51" s="117">
        <f>'淘系'!L49+'抖音'!L49+PDD!L49+'得物'!L49+'京东自营财经口径'!L49+'京东POP财经口径'!L49+'视频号+官网+小程序'!L49+'快手'!L49+'唯品会'!L49+'线下门店-直营'!L49+'线下门店-经销'!L49+'线下渠道'!L49+'淘系达播'!L49+'抖音达播'!L49</f>
      </c>
      <c r="N51" s="117">
        <f>'淘系'!M49+'抖音'!M49+PDD!M49+'得物'!M49+'京东自营财经口径'!M49+'京东POP财经口径'!M49+'视频号+官网+小程序'!M49+'快手'!M49+'唯品会'!M49+'线下门店-直营'!M49+'线下门店-经销'!M49+'线下渠道'!M49+'淘系达播'!M49+'抖音达播'!M49</f>
      </c>
      <c r="O51" s="117">
        <f>'淘系'!N49+'抖音'!N49+PDD!N49+'得物'!N49+'京东自营财经口径'!N49+'京东POP财经口径'!N49+'视频号+官网+小程序'!N49+'快手'!N49+'唯品会'!N49+'线下门店-直营'!N49+'线下门店-经销'!N49+'线下渠道'!N49+'淘系达播'!N49+'抖音达播'!N49</f>
      </c>
      <c r="P51" s="117">
        <f>SUM(C51:O51)</f>
      </c>
      <c r="Q51" s="120">
        <f>P51/$P$16</f>
      </c>
      <c r="R51" s="90" t="str">
        <v>线下门店</v>
      </c>
      <c r="S51">
        <f>S38*T45+S45</f>
      </c>
      <c r="U51" s="119">
        <f>P51-'淘系'!O49-'淘系达播'!O49-'抖音'!O49-'抖音达播'!O49-'快手'!O49-'京东POP财经口径'!O49-'京东自营财经口径'!O49-PDD!O49-'得物'!O49-'视频号+官网+小程序'!O49-'唯品会'!O49-'线下门店-直营'!O49-'线下门店-经销'!O49-'线下渠道'!O49</f>
      </c>
    </row>
    <row r="52">
      <c r="A52" s="118"/>
      <c r="B52" s="117" t="str">
        <v>门店人工</v>
      </c>
      <c r="C52" s="117">
        <f>'淘系'!C50+'抖音'!C50+PDD!C50+'得物'!C50+'京东自营财经口径'!C50+'京东POP财经口径'!C50+'视频号+官网+小程序'!C50+'快手'!C50+'唯品会'!C50+'线下门店-直营'!C50+'线下门店-经销'!C50+'线下渠道'!C50+'淘系达播'!C50+'抖音达播'!C50</f>
      </c>
      <c r="D52" s="117"/>
      <c r="E52" s="117">
        <f>'淘系'!D50+'抖音'!D50+PDD!D50+'得物'!D50+'京东自营财经口径'!D50+'京东POP财经口径'!D50+'视频号+官网+小程序'!D50+'快手'!D50+'唯品会'!D50+'线下门店-直营'!D50+'线下门店-经销'!D50+'线下渠道'!D50+'淘系达播'!D50+'抖音达播'!D50</f>
      </c>
      <c r="F52" s="117">
        <f>'淘系'!E50+'抖音'!E50+PDD!E50+'得物'!E50+'京东自营财经口径'!E50+'京东POP财经口径'!E50+'视频号+官网+小程序'!E50+'快手'!E50+'唯品会'!E50+'线下门店-直营'!E50+'线下门店-经销'!E50+'线下渠道'!E50+'淘系达播'!E50+'抖音达播'!E50</f>
      </c>
      <c r="G52" s="117">
        <f>'淘系'!F50+'抖音'!F50+PDD!F50+'得物'!F50+'京东自营财经口径'!F50+'京东POP财经口径'!F50+'视频号+官网+小程序'!F50+'快手'!F50+'唯品会'!F50+'线下门店-直营'!F50+'线下门店-经销'!F50+'线下渠道'!F50+'淘系达播'!F50+'抖音达播'!F50</f>
      </c>
      <c r="H52" s="117">
        <f>'淘系'!G50+'抖音'!G50+PDD!G50+'得物'!G50+'京东自营财经口径'!G50+'京东POP财经口径'!G50+'视频号+官网+小程序'!G50+'快手'!G50+'唯品会'!G50+'线下门店-直营'!G50+'线下门店-经销'!G50+'线下渠道'!G50+'淘系达播'!G50+'抖音达播'!G50</f>
      </c>
      <c r="I52" s="117">
        <f>'淘系'!H50+'抖音'!H50+PDD!H50+'得物'!H50+'京东自营财经口径'!H50+'京东POP财经口径'!H50+'视频号+官网+小程序'!H50+'快手'!H50+'唯品会'!H50+'线下门店-直营'!H50+'线下门店-经销'!H50+'线下渠道'!H50+'淘系达播'!H50+'抖音达播'!H50</f>
      </c>
      <c r="J52" s="117">
        <f>'淘系'!I50+'抖音'!I50+PDD!I50+'得物'!I50+'京东自营财经口径'!I50+'京东POP财经口径'!I50+'视频号+官网+小程序'!I50+'快手'!I50+'唯品会'!I50+'线下门店-直营'!I50+'线下门店-经销'!I50+'线下渠道'!I50+'淘系达播'!I50+'抖音达播'!I50</f>
      </c>
      <c r="K52" s="117">
        <f>'淘系'!J50+'抖音'!J50+PDD!J50+'得物'!J50+'京东自营财经口径'!J50+'京东POP财经口径'!J50+'视频号+官网+小程序'!J50+'快手'!J50+'唯品会'!J50+'线下门店-直营'!J50+'线下门店-经销'!J50+'线下渠道'!J50+'淘系达播'!J50+'抖音达播'!J50</f>
      </c>
      <c r="L52" s="117">
        <f>'淘系'!K50+'抖音'!K50+PDD!K50+'得物'!K50+'京东自营财经口径'!K50+'京东POP财经口径'!K50+'视频号+官网+小程序'!K50+'快手'!K50+'唯品会'!K50+'线下门店-直营'!K50+'线下门店-经销'!K50+'线下渠道'!K50+'淘系达播'!K50+'抖音达播'!K50</f>
      </c>
      <c r="M52" s="117">
        <f>'淘系'!L50+'抖音'!L50+PDD!L50+'得物'!L50+'京东自营财经口径'!L50+'京东POP财经口径'!L50+'视频号+官网+小程序'!L50+'快手'!L50+'唯品会'!L50+'线下门店-直营'!L50+'线下门店-经销'!L50+'线下渠道'!L50+'淘系达播'!L50+'抖音达播'!L50</f>
      </c>
      <c r="N52" s="117">
        <f>'淘系'!M50+'抖音'!M50+PDD!M50+'得物'!M50+'京东自营财经口径'!M50+'京东POP财经口径'!M50+'视频号+官网+小程序'!M50+'快手'!M50+'唯品会'!M50+'线下门店-直营'!M50+'线下门店-经销'!M50+'线下渠道'!M50+'淘系达播'!M50+'抖音达播'!M50</f>
      </c>
      <c r="O52" s="117">
        <f>'淘系'!N50+'抖音'!N50+PDD!N50+'得物'!N50+'京东自营财经口径'!N50+'京东POP财经口径'!N50+'视频号+官网+小程序'!N50+'快手'!N50+'唯品会'!N50+'线下门店-直营'!N50+'线下门店-经销'!N50+'线下渠道'!N50+'淘系达播'!N50+'抖音达播'!N50</f>
      </c>
      <c r="P52" s="117">
        <f>SUM(C52:O52)</f>
      </c>
      <c r="Q52" s="120">
        <f>P52/$P$16</f>
      </c>
      <c r="R52" s="90" t="str">
        <v>线下门店</v>
      </c>
      <c r="U52" s="119">
        <f>P52-'淘系'!O50-'淘系达播'!O50-'抖音'!O50-'抖音达播'!O50-'快手'!O50-'京东POP财经口径'!O50-'京东自营财经口径'!O50-PDD!O50-'得物'!O50-'视频号+官网+小程序'!O50-'唯品会'!O50-'线下门店-直营'!O50-'线下门店-经销'!O50-'线下渠道'!O50</f>
      </c>
    </row>
    <row r="53">
      <c r="A53" s="1"/>
      <c r="B53" s="117" t="str">
        <v>门店展陈装修等其他</v>
      </c>
      <c r="C53" s="117">
        <f>'淘系'!C51+'抖音'!C51+PDD!C51+'得物'!C51+'京东自营财经口径'!C51+'京东POP财经口径'!C51+'视频号+官网+小程序'!C51+'快手'!C51+'唯品会'!C51+'线下门店-直营'!C51+'线下门店-经销'!C51+'线下渠道'!C51+'淘系达播'!C51+'抖音达播'!C51</f>
      </c>
      <c r="D53" s="117"/>
      <c r="E53" s="117">
        <f>'淘系'!D51+'抖音'!D51+PDD!D51+'得物'!D51+'京东自营财经口径'!D51+'京东POP财经口径'!D51+'视频号+官网+小程序'!D51+'快手'!D51+'唯品会'!D51+'线下门店-直营'!D51+'线下门店-经销'!D51+'线下渠道'!D51+'淘系达播'!D51+'抖音达播'!D51</f>
      </c>
      <c r="F53" s="117">
        <f>'淘系'!E51+'抖音'!E51+PDD!E51+'得物'!E51+'京东自营财经口径'!E51+'京东POP财经口径'!E51+'视频号+官网+小程序'!E51+'快手'!E51+'唯品会'!E51+'线下门店-直营'!E51+'线下门店-经销'!E51+'线下渠道'!E51+'淘系达播'!E51+'抖音达播'!E51</f>
      </c>
      <c r="G53" s="117">
        <f>'淘系'!F51+'抖音'!F51+PDD!F51+'得物'!F51+'京东自营财经口径'!F51+'京东POP财经口径'!F51+'视频号+官网+小程序'!F51+'快手'!F51+'唯品会'!F51+'线下门店-直营'!F51+'线下门店-经销'!F51+'线下渠道'!F51+'淘系达播'!F51+'抖音达播'!F51</f>
      </c>
      <c r="H53" s="117">
        <f>'淘系'!G51+'抖音'!G51+PDD!G51+'得物'!G51+'京东自营财经口径'!G51+'京东POP财经口径'!G51+'视频号+官网+小程序'!G51+'快手'!G51+'唯品会'!G51+'线下门店-直营'!G51+'线下门店-经销'!G51+'线下渠道'!G51+'淘系达播'!G51+'抖音达播'!G51</f>
      </c>
      <c r="I53" s="117">
        <f>'淘系'!H51+'抖音'!H51+PDD!H51+'得物'!H51+'京东自营财经口径'!H51+'京东POP财经口径'!H51+'视频号+官网+小程序'!H51+'快手'!H51+'唯品会'!H51+'线下门店-直营'!H51+'线下门店-经销'!H51+'线下渠道'!H51+'淘系达播'!H51+'抖音达播'!H51</f>
      </c>
      <c r="J53" s="117">
        <f>'淘系'!I51+'抖音'!I51+PDD!I51+'得物'!I51+'京东自营财经口径'!I51+'京东POP财经口径'!I51+'视频号+官网+小程序'!I51+'快手'!I51+'唯品会'!I51+'线下门店-直营'!I51+'线下门店-经销'!I51+'线下渠道'!I51+'淘系达播'!I51+'抖音达播'!I51</f>
      </c>
      <c r="K53" s="117">
        <f>'淘系'!J51+'抖音'!J51+PDD!J51+'得物'!J51+'京东自营财经口径'!J51+'京东POP财经口径'!J51+'视频号+官网+小程序'!J51+'快手'!J51+'唯品会'!J51+'线下门店-直营'!J51+'线下门店-经销'!J51+'线下渠道'!J51+'淘系达播'!J51+'抖音达播'!J51</f>
      </c>
      <c r="L53" s="117">
        <f>'淘系'!K51+'抖音'!K51+PDD!K51+'得物'!K51+'京东自营财经口径'!K51+'京东POP财经口径'!K51+'视频号+官网+小程序'!K51+'快手'!K51+'唯品会'!K51+'线下门店-直营'!K51+'线下门店-经销'!K51+'线下渠道'!K51+'淘系达播'!K51+'抖音达播'!K51</f>
      </c>
      <c r="M53" s="117">
        <f>'淘系'!L51+'抖音'!L51+PDD!L51+'得物'!L51+'京东自营财经口径'!L51+'京东POP财经口径'!L51+'视频号+官网+小程序'!L51+'快手'!L51+'唯品会'!L51+'线下门店-直营'!L51+'线下门店-经销'!L51+'线下渠道'!L51+'淘系达播'!L51+'抖音达播'!L51</f>
      </c>
      <c r="N53" s="117">
        <f>'淘系'!M51+'抖音'!M51+PDD!M51+'得物'!M51+'京东自营财经口径'!M51+'京东POP财经口径'!M51+'视频号+官网+小程序'!M51+'快手'!M51+'唯品会'!M51+'线下门店-直营'!M51+'线下门店-经销'!M51+'线下渠道'!M51+'淘系达播'!M51+'抖音达播'!M51</f>
      </c>
      <c r="O53" s="117">
        <f>'淘系'!N51+'抖音'!N51+PDD!N51+'得物'!N51+'京东自营财经口径'!N51+'京东POP财经口径'!N51+'视频号+官网+小程序'!N51+'快手'!N51+'唯品会'!N51+'线下门店-直营'!N51+'线下门店-经销'!N51+'线下渠道'!N51+'淘系达播'!N51+'抖音达播'!N51</f>
      </c>
      <c r="P53" s="117">
        <f>SUM(C53:O53)</f>
      </c>
      <c r="Q53" s="120">
        <f>P53/$P$16</f>
      </c>
      <c r="R53" s="90" t="str">
        <v>线下门店</v>
      </c>
      <c r="U53" s="119">
        <f>P53-'淘系'!O51-'淘系达播'!O51-'抖音'!O51-'抖音达播'!O51-'快手'!O51-'京东POP财经口径'!O51-'京东自营财经口径'!O51-PDD!O51-'得物'!O51-'视频号+官网+小程序'!O51-'唯品会'!O51-'线下门店-直营'!O51-'线下门店-经销'!O51-'线下渠道'!O51</f>
      </c>
    </row>
    <row r="54">
      <c r="A54" s="1"/>
      <c r="B54" s="163" t="str">
        <v>市场投入费用</v>
      </c>
      <c r="C54" s="163">
        <f>SUM(C26,C37,C44,C49)</f>
      </c>
      <c r="D54" s="128">
        <f>C54/C$16</f>
      </c>
      <c r="E54" s="163">
        <f>SUM(E26,E37,E44,E49)</f>
      </c>
      <c r="F54" s="163">
        <f>SUM(F26,F37,F44,F49)</f>
      </c>
      <c r="G54" s="163">
        <f>SUM(G26,G37,G44,G49)</f>
      </c>
      <c r="H54" s="163">
        <f>SUM(H26,H37,H44,H49)</f>
      </c>
      <c r="I54" s="163">
        <f>SUM(I26,I37,I44,I49)</f>
      </c>
      <c r="J54" s="163">
        <f>SUM(J26,J37,J44,J49)</f>
      </c>
      <c r="K54" s="163">
        <f>SUM(K26,K37,K44,K49)</f>
      </c>
      <c r="L54" s="163">
        <f>SUM(L26,L37,L44,L49)</f>
      </c>
      <c r="M54" s="163">
        <f>SUM(M26,M37,M44,M49)</f>
      </c>
      <c r="N54" s="163">
        <f>SUM(N26,N37,N44,N49)</f>
      </c>
      <c r="O54" s="163">
        <f>SUM(O26,O37,O44,O49)</f>
      </c>
      <c r="P54" s="163">
        <f>SUM(C54:O54)</f>
      </c>
      <c r="Q54" s="116">
        <f>P54/$P$16</f>
      </c>
      <c r="R54" s="1"/>
      <c r="U54" s="119">
        <f>P54-'淘系'!O52-'淘系达播'!O52-'抖音'!O52-'抖音达播'!O52-'快手'!O52-'京东POP财经口径'!O52-'京东自营财经口径'!O52-PDD!O52-'得物'!O52-'视频号+官网+小程序'!O52-'唯品会'!O52-'线下门店-直营'!O52-'线下门店-经销'!O52-'线下渠道'!O52</f>
      </c>
    </row>
    <row r="55">
      <c r="A55" s="118"/>
      <c r="B55" s="117" t="str">
        <v>平台佣金</v>
      </c>
      <c r="C55" s="117">
        <f>'淘系'!C53+'抖音'!C53+PDD!C53+'得物'!C53+'京东自营财经口径'!C53+'京东POP财经口径'!C53+'视频号+官网+小程序'!C53+'快手'!C53+'唯品会'!C53+'线下门店-直营'!C53+'线下门店-经销'!C53+'线下渠道'!C53+'淘系达播'!C53+'抖音达播'!C53</f>
      </c>
      <c r="D55" s="117"/>
      <c r="E55" s="117">
        <f>'淘系'!D53+'抖音'!D53+PDD!D53+'得物'!D53+'京东自营财经口径'!D53+'京东POP财经口径'!D53+'视频号+官网+小程序'!D53+'快手'!D53+'唯品会'!D53+'线下门店-直营'!D53+'线下门店-经销'!D53+'线下渠道'!D53+'淘系达播'!D53+'抖音达播'!D53</f>
      </c>
      <c r="F55" s="117">
        <f>'淘系'!E53+'抖音'!E53+PDD!E53+'得物'!E53+'京东自营财经口径'!E53+'京东POP财经口径'!E53+'视频号+官网+小程序'!E53+'快手'!E53+'唯品会'!E53+'线下门店-直营'!E53+'线下门店-经销'!E53+'线下渠道'!E53+'淘系达播'!E53+'抖音达播'!E53</f>
      </c>
      <c r="G55" s="117">
        <f>'淘系'!F53+'抖音'!F53+PDD!F53+'得物'!F53+'京东自营财经口径'!F53+'京东POP财经口径'!F53+'视频号+官网+小程序'!F53+'快手'!F53+'唯品会'!F53+'线下门店-直营'!F53+'线下门店-经销'!F53+'线下渠道'!F53+'淘系达播'!F53+'抖音达播'!F53</f>
      </c>
      <c r="H55" s="117">
        <f>'淘系'!G53+'抖音'!G53+PDD!G53+'得物'!G53+'京东自营财经口径'!G53+'京东POP财经口径'!G53+'视频号+官网+小程序'!G53+'快手'!G53+'唯品会'!G53+'线下门店-直营'!G53+'线下门店-经销'!G53+'线下渠道'!G53+'淘系达播'!G53+'抖音达播'!G53</f>
      </c>
      <c r="I55" s="117">
        <f>'淘系'!H53+'抖音'!H53+PDD!H53+'得物'!H53+'京东自营财经口径'!H53+'京东POP财经口径'!H53+'视频号+官网+小程序'!H53+'快手'!H53+'唯品会'!H53+'线下门店-直营'!H53+'线下门店-经销'!H53+'线下渠道'!H53+'淘系达播'!H53+'抖音达播'!H53</f>
      </c>
      <c r="J55" s="117">
        <f>'淘系'!I53+'抖音'!I53+PDD!I53+'得物'!I53+'京东自营财经口径'!I53+'京东POP财经口径'!I53+'视频号+官网+小程序'!I53+'快手'!I53+'唯品会'!I53+'线下门店-直营'!I53+'线下门店-经销'!I53+'线下渠道'!I53+'淘系达播'!I53+'抖音达播'!I53</f>
      </c>
      <c r="K55" s="117">
        <f>'淘系'!J53+'抖音'!J53+PDD!J53+'得物'!J53+'京东自营财经口径'!J53+'京东POP财经口径'!J53+'视频号+官网+小程序'!J53+'快手'!J53+'唯品会'!J53+'线下门店-直营'!J53+'线下门店-经销'!J53+'线下渠道'!J53+'淘系达播'!J53+'抖音达播'!J53</f>
      </c>
      <c r="L55" s="117">
        <f>'淘系'!K53+'抖音'!K53+PDD!K53+'得物'!K53+'京东自营财经口径'!K53+'京东POP财经口径'!K53+'视频号+官网+小程序'!K53+'快手'!K53+'唯品会'!K53+'线下门店-直营'!K53+'线下门店-经销'!K53+'线下渠道'!K53+'淘系达播'!K53+'抖音达播'!K53</f>
      </c>
      <c r="M55" s="117">
        <f>'淘系'!L53+'抖音'!L53+PDD!L53+'得物'!L53+'京东自营财经口径'!L53+'京东POP财经口径'!L53+'视频号+官网+小程序'!L53+'快手'!L53+'唯品会'!L53+'线下门店-直营'!L53+'线下门店-经销'!L53+'线下渠道'!L53+'淘系达播'!L53+'抖音达播'!L53</f>
      </c>
      <c r="N55" s="117">
        <f>'淘系'!M53+'抖音'!M53+PDD!M53+'得物'!M53+'京东自营财经口径'!M53+'京东POP财经口径'!M53+'视频号+官网+小程序'!M53+'快手'!M53+'唯品会'!M53+'线下门店-直营'!M53+'线下门店-经销'!M53+'线下渠道'!M53+'淘系达播'!M53+'抖音达播'!M53</f>
      </c>
      <c r="O55" s="117">
        <f>'淘系'!N53+'抖音'!N53+PDD!N53+'得物'!N53+'京东自营财经口径'!N53+'京东POP财经口径'!N53+'视频号+官网+小程序'!N53+'快手'!N53+'唯品会'!N53+'线下门店-直营'!N53+'线下门店-经销'!N53+'线下渠道'!N53+'淘系达播'!N53+'抖音达播'!N53</f>
      </c>
      <c r="P55" s="117">
        <f>SUM(C55:O55)</f>
      </c>
      <c r="Q55" s="120">
        <f>P55/$P$16</f>
      </c>
      <c r="R55" s="1"/>
      <c r="U55" s="119">
        <f>P55-'淘系'!O53-'淘系达播'!O53-'抖音'!O53-'抖音达播'!O53-'快手'!O53-'京东POP财经口径'!O53-'京东自营财经口径'!O53-PDD!O53-'得物'!O53-'视频号+官网+小程序'!O53-'唯品会'!O53-'线下门店-直营'!O53-'线下门店-经销'!O53-'线下渠道'!O53</f>
      </c>
    </row>
    <row r="56">
      <c r="A56" s="118"/>
      <c r="B56" s="117" t="str">
        <v>平台其他费用</v>
      </c>
      <c r="C56" s="117">
        <f>'淘系'!C54+'抖音'!C54+PDD!C54+'得物'!C54+'京东自营财经口径'!C54+'京东POP财经口径'!C54+'视频号+官网+小程序'!C54+'快手'!C54+'唯品会'!C54+'线下门店-直营'!C54+'线下门店-经销'!C54+'线下渠道'!C54+'淘系达播'!C54+'抖音达播'!C54</f>
      </c>
      <c r="D56" s="117"/>
      <c r="E56" s="117">
        <f>'淘系'!D54+'抖音'!D54+PDD!D54+'得物'!D54+'京东自营财经口径'!D54+'京东POP财经口径'!D54+'视频号+官网+小程序'!D54+'快手'!D54+'唯品会'!D54+'线下门店-直营'!D54+'线下门店-经销'!D54+'线下渠道'!D54+'淘系达播'!D54+'抖音达播'!D54</f>
      </c>
      <c r="F56" s="117">
        <f>'淘系'!E54+'抖音'!E54+PDD!E54+'得物'!E54+'京东自营财经口径'!E54+'京东POP财经口径'!E54+'视频号+官网+小程序'!E54+'快手'!E54+'唯品会'!E54+'线下门店-直营'!E54+'线下门店-经销'!E54+'线下渠道'!E54+'淘系达播'!E54+'抖音达播'!E54</f>
      </c>
      <c r="G56" s="117">
        <f>'淘系'!F54+'抖音'!F54+PDD!F54+'得物'!F54+'京东自营财经口径'!F54+'京东POP财经口径'!F54+'视频号+官网+小程序'!F54+'快手'!F54+'唯品会'!F54+'线下门店-直营'!F54+'线下门店-经销'!F54+'线下渠道'!F54+'淘系达播'!F54+'抖音达播'!F54</f>
      </c>
      <c r="H56" s="117">
        <f>'淘系'!G54+'抖音'!G54+PDD!G54+'得物'!G54+'京东自营财经口径'!G54+'京东POP财经口径'!G54+'视频号+官网+小程序'!G54+'快手'!G54+'唯品会'!G54+'线下门店-直营'!G54+'线下门店-经销'!G54+'线下渠道'!G54+'淘系达播'!G54+'抖音达播'!G54</f>
      </c>
      <c r="I56" s="117">
        <f>'淘系'!H54+'抖音'!H54+PDD!H54+'得物'!H54+'京东自营财经口径'!H54+'京东POP财经口径'!H54+'视频号+官网+小程序'!H54+'快手'!H54+'唯品会'!H54+'线下门店-直营'!H54+'线下门店-经销'!H54+'线下渠道'!H54+'淘系达播'!H54+'抖音达播'!H54</f>
      </c>
      <c r="J56" s="117">
        <f>'淘系'!I54+'抖音'!I54+PDD!I54+'得物'!I54+'京东自营财经口径'!I54+'京东POP财经口径'!I54+'视频号+官网+小程序'!I54+'快手'!I54+'唯品会'!I54+'线下门店-直营'!I54+'线下门店-经销'!I54+'线下渠道'!I54+'淘系达播'!I54+'抖音达播'!I54</f>
      </c>
      <c r="K56" s="117">
        <f>'淘系'!J54+'抖音'!J54+PDD!J54+'得物'!J54+'京东自营财经口径'!J54+'京东POP财经口径'!J54+'视频号+官网+小程序'!J54+'快手'!J54+'唯品会'!J54+'线下门店-直营'!J54+'线下门店-经销'!J54+'线下渠道'!J54+'淘系达播'!J54+'抖音达播'!J54</f>
      </c>
      <c r="L56" s="117">
        <f>'淘系'!K54+'抖音'!K54+PDD!K54+'得物'!K54+'京东自营财经口径'!K54+'京东POP财经口径'!K54+'视频号+官网+小程序'!K54+'快手'!K54+'唯品会'!K54+'线下门店-直营'!K54+'线下门店-经销'!K54+'线下渠道'!K54+'淘系达播'!K54+'抖音达播'!K54</f>
      </c>
      <c r="M56" s="117">
        <f>'淘系'!L54+'抖音'!L54+PDD!L54+'得物'!L54+'京东自营财经口径'!L54+'京东POP财经口径'!L54+'视频号+官网+小程序'!L54+'快手'!L54+'唯品会'!L54+'线下门店-直营'!L54+'线下门店-经销'!L54+'线下渠道'!L54+'淘系达播'!L54+'抖音达播'!L54</f>
      </c>
      <c r="N56" s="117">
        <f>'淘系'!M54+'抖音'!M54+PDD!M54+'得物'!M54+'京东自营财经口径'!M54+'京东POP财经口径'!M54+'视频号+官网+小程序'!M54+'快手'!M54+'唯品会'!M54+'线下门店-直营'!M54+'线下门店-经销'!M54+'线下渠道'!M54+'淘系达播'!M54+'抖音达播'!M54</f>
      </c>
      <c r="O56" s="117">
        <f>'淘系'!N54+'抖音'!N54+PDD!N54+'得物'!N54+'京东自营财经口径'!N54+'京东POP财经口径'!N54+'视频号+官网+小程序'!N54+'快手'!N54+'唯品会'!N54+'线下门店-直营'!N54+'线下门店-经销'!N54+'线下渠道'!N54+'淘系达播'!N54+'抖音达播'!N54</f>
      </c>
      <c r="P56" s="117">
        <f>SUM(C56:O56)</f>
      </c>
      <c r="Q56" s="120">
        <f>P56/$P$16</f>
      </c>
      <c r="R56" s="1"/>
      <c r="U56" s="119">
        <f>P56-'淘系'!O54-'淘系达播'!O54-'抖音'!O54-'抖音达播'!O54-'快手'!O54-'京东POP财经口径'!O54-'京东自营财经口径'!O54-PDD!O54-'得物'!O54-'视频号+官网+小程序'!O54-'唯品会'!O54-'线下门店-直营'!O54-'线下门店-经销'!O54-'线下渠道'!O54</f>
      </c>
    </row>
    <row r="57">
      <c r="A57" s="118"/>
      <c r="B57" s="117" t="str">
        <v>售后费用</v>
      </c>
      <c r="C57" s="117">
        <f>'淘系'!C55+'抖音'!C55+PDD!C55+'得物'!C55+'京东自营财经口径'!C55+'京东POP财经口径'!C55+'视频号+官网+小程序'!C55+'快手'!C55+'唯品会'!C55+'线下门店-直营'!C55+'线下门店-经销'!C55+'线下渠道'!C55+'淘系达播'!C55+'抖音达播'!C55</f>
      </c>
      <c r="D57" s="117"/>
      <c r="E57" s="117">
        <f>'淘系'!D55+'抖音'!D55+PDD!D55+'得物'!D55+'京东自营财经口径'!D55+'京东POP财经口径'!D55+'视频号+官网+小程序'!D55+'快手'!D55+'唯品会'!D55+'线下门店-直营'!D55+'线下门店-经销'!D55+'线下渠道'!D55+'淘系达播'!D55+'抖音达播'!D55</f>
      </c>
      <c r="F57" s="117">
        <f>'淘系'!E55+'抖音'!E55+PDD!E55+'得物'!E55+'京东自营财经口径'!E55+'京东POP财经口径'!E55+'视频号+官网+小程序'!E55+'快手'!E55+'唯品会'!E55+'线下门店-直营'!E55+'线下门店-经销'!E55+'线下渠道'!E55+'淘系达播'!E55+'抖音达播'!E55</f>
      </c>
      <c r="G57" s="117">
        <f>'淘系'!F55+'抖音'!F55+PDD!F55+'得物'!F55+'京东自营财经口径'!F55+'京东POP财经口径'!F55+'视频号+官网+小程序'!F55+'快手'!F55+'唯品会'!F55+'线下门店-直营'!F55+'线下门店-经销'!F55+'线下渠道'!F55+'淘系达播'!F55+'抖音达播'!F55</f>
      </c>
      <c r="H57" s="117">
        <f>'淘系'!G55+'抖音'!G55+PDD!G55+'得物'!G55+'京东自营财经口径'!G55+'京东POP财经口径'!G55+'视频号+官网+小程序'!G55+'快手'!G55+'唯品会'!G55+'线下门店-直营'!G55+'线下门店-经销'!G55+'线下渠道'!G55+'淘系达播'!G55+'抖音达播'!G55</f>
      </c>
      <c r="I57" s="117">
        <f>'淘系'!H55+'抖音'!H55+PDD!H55+'得物'!H55+'京东自营财经口径'!H55+'京东POP财经口径'!H55+'视频号+官网+小程序'!H55+'快手'!H55+'唯品会'!H55+'线下门店-直营'!H55+'线下门店-经销'!H55+'线下渠道'!H55+'淘系达播'!H55+'抖音达播'!H55</f>
      </c>
      <c r="J57" s="117">
        <f>'淘系'!I55+'抖音'!I55+PDD!I55+'得物'!I55+'京东自营财经口径'!I55+'京东POP财经口径'!I55+'视频号+官网+小程序'!I55+'快手'!I55+'唯品会'!I55+'线下门店-直营'!I55+'线下门店-经销'!I55+'线下渠道'!I55+'淘系达播'!I55+'抖音达播'!I55</f>
      </c>
      <c r="K57" s="117">
        <f>'淘系'!J55+'抖音'!J55+PDD!J55+'得物'!J55+'京东自营财经口径'!J55+'京东POP财经口径'!J55+'视频号+官网+小程序'!J55+'快手'!J55+'唯品会'!J55+'线下门店-直营'!J55+'线下门店-经销'!J55+'线下渠道'!J55+'淘系达播'!J55+'抖音达播'!J55</f>
      </c>
      <c r="L57" s="117">
        <f>'淘系'!K55+'抖音'!K55+PDD!K55+'得物'!K55+'京东自营财经口径'!K55+'京东POP财经口径'!K55+'视频号+官网+小程序'!K55+'快手'!K55+'唯品会'!K55+'线下门店-直营'!K55+'线下门店-经销'!K55+'线下渠道'!K55+'淘系达播'!K55+'抖音达播'!K55</f>
      </c>
      <c r="M57" s="117">
        <f>'淘系'!L55+'抖音'!L55+PDD!L55+'得物'!L55+'京东自营财经口径'!L55+'京东POP财经口径'!L55+'视频号+官网+小程序'!L55+'快手'!L55+'唯品会'!L55+'线下门店-直营'!L55+'线下门店-经销'!L55+'线下渠道'!L55+'淘系达播'!L55+'抖音达播'!L55</f>
      </c>
      <c r="N57" s="117">
        <f>'淘系'!M55+'抖音'!M55+PDD!M55+'得物'!M55+'京东自营财经口径'!M55+'京东POP财经口径'!M55+'视频号+官网+小程序'!M55+'快手'!M55+'唯品会'!M55+'线下门店-直营'!M55+'线下门店-经销'!M55+'线下渠道'!M55+'淘系达播'!M55+'抖音达播'!M55</f>
      </c>
      <c r="O57" s="117">
        <f>'淘系'!N55+'抖音'!N55+PDD!N55+'得物'!N55+'京东自营财经口径'!N55+'京东POP财经口径'!N55+'视频号+官网+小程序'!N55+'快手'!N55+'唯品会'!N55+'线下门店-直营'!N55+'线下门店-经销'!N55+'线下渠道'!N55+'淘系达播'!N55+'抖音达播'!N55</f>
      </c>
      <c r="P57" s="117">
        <f>SUM(C57:O57)</f>
      </c>
      <c r="Q57" s="120">
        <f>P57/$P$16</f>
      </c>
      <c r="R57" s="1"/>
      <c r="U57" s="119">
        <f>P57-'淘系'!O55-'淘系达播'!O55-'抖音'!O55-'抖音达播'!O55-'快手'!O55-'京东POP财经口径'!O55-'京东自营财经口径'!O55-PDD!O55-'得物'!O55-'视频号+官网+小程序'!O55-'唯品会'!O55-'线下门店-直营'!O55-'线下门店-经销'!O55-'线下渠道'!O55</f>
      </c>
    </row>
    <row r="58">
      <c r="A58" s="118"/>
      <c r="B58" s="117" t="str">
        <v>短信及店铺软件</v>
      </c>
      <c r="C58" s="117">
        <f>'淘系'!C56+'抖音'!C56+PDD!C56+'得物'!C56+'京东自营财经口径'!C56+'京东POP财经口径'!C56+'视频号+官网+小程序'!C56+'快手'!C56+'唯品会'!C56+'线下门店-直营'!C56+'线下门店-经销'!C56+'线下渠道'!C56+'淘系达播'!C56+'抖音达播'!C56</f>
      </c>
      <c r="D58" s="117"/>
      <c r="E58" s="117">
        <f>'淘系'!D56+'抖音'!D56+PDD!D56+'得物'!D56+'京东自营财经口径'!D56+'京东POP财经口径'!D56+'视频号+官网+小程序'!D56+'快手'!D56+'唯品会'!D56+'线下门店-直营'!D56+'线下门店-经销'!D56+'线下渠道'!D56+'淘系达播'!D56+'抖音达播'!D56</f>
      </c>
      <c r="F58" s="117">
        <f>'淘系'!E56+'抖音'!E56+PDD!E56+'得物'!E56+'京东自营财经口径'!E56+'京东POP财经口径'!E56+'视频号+官网+小程序'!E56+'快手'!E56+'唯品会'!E56+'线下门店-直营'!E56+'线下门店-经销'!E56+'线下渠道'!E56+'淘系达播'!E56+'抖音达播'!E56</f>
      </c>
      <c r="G58" s="117">
        <f>'淘系'!F56+'抖音'!F56+PDD!F56+'得物'!F56+'京东自营财经口径'!F56+'京东POP财经口径'!F56+'视频号+官网+小程序'!F56+'快手'!F56+'唯品会'!F56+'线下门店-直营'!F56+'线下门店-经销'!F56+'线下渠道'!F56+'淘系达播'!F56+'抖音达播'!F56</f>
      </c>
      <c r="H58" s="117">
        <f>'淘系'!G56+'抖音'!G56+PDD!G56+'得物'!G56+'京东自营财经口径'!G56+'京东POP财经口径'!G56+'视频号+官网+小程序'!G56+'快手'!G56+'唯品会'!G56+'线下门店-直营'!G56+'线下门店-经销'!G56+'线下渠道'!G56+'淘系达播'!G56+'抖音达播'!G56</f>
      </c>
      <c r="I58" s="117">
        <f>'淘系'!H56+'抖音'!H56+PDD!H56+'得物'!H56+'京东自营财经口径'!H56+'京东POP财经口径'!H56+'视频号+官网+小程序'!H56+'快手'!H56+'唯品会'!H56+'线下门店-直营'!H56+'线下门店-经销'!H56+'线下渠道'!H56+'淘系达播'!H56+'抖音达播'!H56</f>
      </c>
      <c r="J58" s="117">
        <f>'淘系'!I56+'抖音'!I56+PDD!I56+'得物'!I56+'京东自营财经口径'!I56+'京东POP财经口径'!I56+'视频号+官网+小程序'!I56+'快手'!I56+'唯品会'!I56+'线下门店-直营'!I56+'线下门店-经销'!I56+'线下渠道'!I56+'淘系达播'!I56+'抖音达播'!I56</f>
      </c>
      <c r="K58" s="117">
        <f>'淘系'!J56+'抖音'!J56+PDD!J56+'得物'!J56+'京东自营财经口径'!J56+'京东POP财经口径'!J56+'视频号+官网+小程序'!J56+'快手'!J56+'唯品会'!J56+'线下门店-直营'!J56+'线下门店-经销'!J56+'线下渠道'!J56+'淘系达播'!J56+'抖音达播'!J56</f>
      </c>
      <c r="L58" s="117">
        <f>'淘系'!K56+'抖音'!K56+PDD!K56+'得物'!K56+'京东自营财经口径'!K56+'京东POP财经口径'!K56+'视频号+官网+小程序'!K56+'快手'!K56+'唯品会'!K56+'线下门店-直营'!K56+'线下门店-经销'!K56+'线下渠道'!K56+'淘系达播'!K56+'抖音达播'!K56</f>
      </c>
      <c r="M58" s="117">
        <f>'淘系'!L56+'抖音'!L56+PDD!L56+'得物'!L56+'京东自营财经口径'!L56+'京东POP财经口径'!L56+'视频号+官网+小程序'!L56+'快手'!L56+'唯品会'!L56+'线下门店-直营'!L56+'线下门店-经销'!L56+'线下渠道'!L56+'淘系达播'!L56+'抖音达播'!L56</f>
      </c>
      <c r="N58" s="117">
        <f>'淘系'!M56+'抖音'!M56+PDD!M56+'得物'!M56+'京东自营财经口径'!M56+'京东POP财经口径'!M56+'视频号+官网+小程序'!M56+'快手'!M56+'唯品会'!M56+'线下门店-直营'!M56+'线下门店-经销'!M56+'线下渠道'!M56+'淘系达播'!M56+'抖音达播'!M56</f>
      </c>
      <c r="O58" s="117">
        <f>'淘系'!N56+'抖音'!N56+PDD!N56+'得物'!N56+'京东自营财经口径'!N56+'京东POP财经口径'!N56+'视频号+官网+小程序'!N56+'快手'!N56+'唯品会'!N56+'线下门店-直营'!N56+'线下门店-经销'!N56+'线下渠道'!N56+'淘系达播'!N56+'抖音达播'!N56</f>
      </c>
      <c r="P58" s="117">
        <f>SUM(C58:O58)</f>
      </c>
      <c r="Q58" s="120">
        <f>P58/$P$16</f>
      </c>
      <c r="R58" s="1"/>
      <c r="U58" s="119">
        <f>P58-'淘系'!O56-'淘系达播'!O56-'抖音'!O56-'抖音达播'!O56-'快手'!O56-'京东POP财经口径'!O56-'京东自营财经口径'!O56-PDD!O56-'得物'!O56-'视频号+官网+小程序'!O56-'唯品会'!O56-'线下门店-直营'!O56-'线下门店-经销'!O56-'线下渠道'!O56</f>
      </c>
    </row>
    <row r="59">
      <c r="A59" s="118"/>
      <c r="B59" s="117" t="str">
        <v>其他运营费用（咨询调研等）</v>
      </c>
      <c r="C59" s="117">
        <f>'淘系'!C57+'抖音'!C57+PDD!C57+'得物'!C57+'京东自营财经口径'!C57+'京东POP财经口径'!C57+'视频号+官网+小程序'!C57+'快手'!C57+'唯品会'!C57+'线下门店-直营'!C57+'线下门店-经销'!C57+'线下渠道'!C57+'淘系达播'!C57+'抖音达播'!C57</f>
      </c>
      <c r="D59" s="117"/>
      <c r="E59" s="117">
        <f>'淘系'!D57+'抖音'!D57+PDD!D57+'得物'!D57+'京东自营财经口径'!D57+'京东POP财经口径'!D57+'视频号+官网+小程序'!D57+'快手'!D57+'唯品会'!D57+'线下门店-直营'!D57+'线下门店-经销'!D57+'线下渠道'!D57+'淘系达播'!D57+'抖音达播'!D57</f>
      </c>
      <c r="F59" s="117">
        <f>'淘系'!E57+'抖音'!E57+PDD!E57+'得物'!E57+'京东自营财经口径'!E57+'京东POP财经口径'!E57+'视频号+官网+小程序'!E57+'快手'!E57+'唯品会'!E57+'线下门店-直营'!E57+'线下门店-经销'!E57+'线下渠道'!E57+'淘系达播'!E57+'抖音达播'!E57</f>
      </c>
      <c r="G59" s="117">
        <f>'淘系'!F57+'抖音'!F57+PDD!F57+'得物'!F57+'京东自营财经口径'!F57+'京东POP财经口径'!F57+'视频号+官网+小程序'!F57+'快手'!F57+'唯品会'!F57+'线下门店-直营'!F57+'线下门店-经销'!F57+'线下渠道'!F57+'淘系达播'!F57+'抖音达播'!F57</f>
      </c>
      <c r="H59" s="117">
        <f>'淘系'!G57+'抖音'!G57+PDD!G57+'得物'!G57+'京东自营财经口径'!G57+'京东POP财经口径'!G57+'视频号+官网+小程序'!G57+'快手'!G57+'唯品会'!G57+'线下门店-直营'!G57+'线下门店-经销'!G57+'线下渠道'!G57+'淘系达播'!G57+'抖音达播'!G57</f>
      </c>
      <c r="I59" s="117">
        <f>'淘系'!H57+'抖音'!H57+PDD!H57+'得物'!H57+'京东自营财经口径'!H57+'京东POP财经口径'!H57+'视频号+官网+小程序'!H57+'快手'!H57+'唯品会'!H57+'线下门店-直营'!H57+'线下门店-经销'!H57+'线下渠道'!H57+'淘系达播'!H57+'抖音达播'!H57</f>
      </c>
      <c r="J59" s="117">
        <f>'淘系'!I57+'抖音'!I57+PDD!I57+'得物'!I57+'京东自营财经口径'!I57+'京东POP财经口径'!I57+'视频号+官网+小程序'!I57+'快手'!I57+'唯品会'!I57+'线下门店-直营'!I57+'线下门店-经销'!I57+'线下渠道'!I57+'淘系达播'!I57+'抖音达播'!I57</f>
      </c>
      <c r="K59" s="117">
        <f>'淘系'!J57+'抖音'!J57+PDD!J57+'得物'!J57+'京东自营财经口径'!J57+'京东POP财经口径'!J57+'视频号+官网+小程序'!J57+'快手'!J57+'唯品会'!J57+'线下门店-直营'!J57+'线下门店-经销'!J57+'线下渠道'!J57+'淘系达播'!J57+'抖音达播'!J57</f>
      </c>
      <c r="L59" s="117">
        <f>'淘系'!K57+'抖音'!K57+PDD!K57+'得物'!K57+'京东自营财经口径'!K57+'京东POP财经口径'!K57+'视频号+官网+小程序'!K57+'快手'!K57+'唯品会'!K57+'线下门店-直营'!K57+'线下门店-经销'!K57+'线下渠道'!K57+'淘系达播'!K57+'抖音达播'!K57</f>
      </c>
      <c r="M59" s="117">
        <f>'淘系'!L57+'抖音'!L57+PDD!L57+'得物'!L57+'京东自营财经口径'!L57+'京东POP财经口径'!L57+'视频号+官网+小程序'!L57+'快手'!L57+'唯品会'!L57+'线下门店-直营'!L57+'线下门店-经销'!L57+'线下渠道'!L57+'淘系达播'!L57+'抖音达播'!L57</f>
      </c>
      <c r="N59" s="117">
        <f>'淘系'!M57+'抖音'!M57+PDD!M57+'得物'!M57+'京东自营财经口径'!M57+'京东POP财经口径'!M57+'视频号+官网+小程序'!M57+'快手'!M57+'唯品会'!M57+'线下门店-直营'!M57+'线下门店-经销'!M57+'线下渠道'!M57+'淘系达播'!M57+'抖音达播'!M57</f>
      </c>
      <c r="O59" s="117">
        <f>'淘系'!N57+'抖音'!N57+PDD!N57+'得物'!N57+'京东自营财经口径'!N57+'京东POP财经口径'!N57+'视频号+官网+小程序'!N57+'快手'!N57+'唯品会'!N57+'线下门店-直营'!N57+'线下门店-经销'!N57+'线下渠道'!N57+'淘系达播'!N57+'抖音达播'!N57</f>
      </c>
      <c r="P59" s="117">
        <f>SUM(C59:O59)</f>
      </c>
      <c r="Q59" s="120">
        <f>P59/$P$16</f>
      </c>
      <c r="R59" s="164" t="str">
        <v>新品需求调研，产品上市反馈</v>
      </c>
      <c r="U59" s="119">
        <f>P59-'淘系'!O57-'淘系达播'!O57-'抖音'!O57-'抖音达播'!O57-'快手'!O57-'京东POP财经口径'!O57-'京东自营财经口径'!O57-PDD!O57-'得物'!O57-'视频号+官网+小程序'!O57-'唯品会'!O57-'线下门店-直营'!O57-'线下门店-经销'!O57-'线下渠道'!O57</f>
      </c>
    </row>
    <row r="60">
      <c r="A60" s="1"/>
      <c r="B60" s="163" t="str">
        <v>店铺运营费用</v>
      </c>
      <c r="C60" s="163">
        <f>SUM(C55:C59)</f>
      </c>
      <c r="D60" s="128">
        <f>C60/C$16</f>
      </c>
      <c r="E60" s="163">
        <f>SUM(E55:E59)</f>
      </c>
      <c r="F60" s="163">
        <f>SUM(F55:F59)</f>
      </c>
      <c r="G60" s="163">
        <f>SUM(G55:G59)</f>
      </c>
      <c r="H60" s="163">
        <f>SUM(H55:H59)</f>
      </c>
      <c r="I60" s="163">
        <f>SUM(I55:I59)</f>
      </c>
      <c r="J60" s="163">
        <f>SUM(J55:J59)</f>
      </c>
      <c r="K60" s="163">
        <f>SUM(K55:K59)</f>
      </c>
      <c r="L60" s="163">
        <f>SUM(L55:L59)</f>
      </c>
      <c r="M60" s="163">
        <f>SUM(M55:M59)</f>
      </c>
      <c r="N60" s="163">
        <f>SUM(N55:N59)</f>
      </c>
      <c r="O60" s="163">
        <f>SUM(O55:O59)</f>
      </c>
      <c r="P60" s="163">
        <f>SUM(C60:O60)</f>
      </c>
      <c r="Q60" s="116">
        <f>P60/$P$16</f>
      </c>
      <c r="R60" s="1"/>
      <c r="U60" s="119">
        <f>P60-'淘系'!O58-'淘系达播'!O58-'抖音'!O58-'抖音达播'!O58-'快手'!O58-'京东POP财经口径'!O58-'京东自营财经口径'!O58-PDD!O58-'得物'!O58-'视频号+官网+小程序'!O58-'唯品会'!O58-'线下门店-直营'!O58-'线下门店-经销'!O58-'线下渠道'!O58</f>
      </c>
    </row>
    <row r="61">
      <c r="A61" s="135"/>
      <c r="B61" s="161" t="str">
        <v>A&amp;P 合计数</v>
      </c>
      <c r="C61" s="161">
        <f>SUM(C54,C60)</f>
      </c>
      <c r="D61" s="161"/>
      <c r="E61" s="161">
        <f>SUM(E54,E60)</f>
      </c>
      <c r="F61" s="161">
        <f>SUM(F54,F60)</f>
      </c>
      <c r="G61" s="161">
        <f>SUM(G54,G60)</f>
      </c>
      <c r="H61" s="161">
        <f>SUM(H54,H60)</f>
      </c>
      <c r="I61" s="161">
        <f>SUM(I54,I60)</f>
      </c>
      <c r="J61" s="161">
        <f>SUM(J54,J60)</f>
      </c>
      <c r="K61" s="161">
        <f>SUM(K54,K60)</f>
      </c>
      <c r="L61" s="161">
        <f>SUM(L54,L60)</f>
      </c>
      <c r="M61" s="161">
        <f>SUM(M54,M60)</f>
      </c>
      <c r="N61" s="161">
        <f>SUM(N54,N60)</f>
      </c>
      <c r="O61" s="161">
        <f>SUM(O54,O60)</f>
      </c>
      <c r="P61" s="161">
        <f>SUM(C61:O61)</f>
      </c>
      <c r="Q61" s="162">
        <f>P61/$P$16</f>
      </c>
      <c r="R61" s="135"/>
      <c r="S61" s="106"/>
      <c r="T61" s="106"/>
      <c r="U61" s="119">
        <f>P61-'淘系'!O59-'淘系达播'!O59-'抖音'!O59-'抖音达播'!O59-'快手'!O59-'京东POP财经口径'!O59-'京东自营财经口径'!O59-PDD!O59-'得物'!O59-'视频号+官网+小程序'!O59-'唯品会'!O59-'线下门店-直营'!O59-'线下门店-经销'!O59-'线下渠道'!O59</f>
      </c>
      <c r="V61" s="106"/>
      <c r="W61" s="106"/>
    </row>
    <row r="62">
      <c r="A62" s="135"/>
      <c r="B62" s="161" t="str">
        <v>店铺利润</v>
      </c>
      <c r="C62" s="161">
        <f>C22-C61</f>
      </c>
      <c r="D62" s="161"/>
      <c r="E62" s="161">
        <f>E22-E61</f>
      </c>
      <c r="F62" s="161">
        <f>F22-F61</f>
      </c>
      <c r="G62" s="161">
        <f>G22-G61</f>
      </c>
      <c r="H62" s="161">
        <f>H22-H61</f>
      </c>
      <c r="I62" s="161">
        <f>I22-I61</f>
      </c>
      <c r="J62" s="161">
        <f>J22-J61</f>
      </c>
      <c r="K62" s="161">
        <f>K22-K61</f>
      </c>
      <c r="L62" s="161">
        <f>L22-L61</f>
      </c>
      <c r="M62" s="161">
        <f>M22-M61</f>
      </c>
      <c r="N62" s="161">
        <f>N22-N61</f>
      </c>
      <c r="O62" s="161">
        <f>O22-O61</f>
      </c>
      <c r="P62" s="161">
        <f>SUM(C62:O62)</f>
      </c>
      <c r="Q62" s="162">
        <f>P62/$P$16</f>
      </c>
      <c r="R62" s="135" t="str">
        <v>1700万成本差</v>
      </c>
      <c r="S62" s="107"/>
      <c r="T62" s="107"/>
      <c r="U62" s="119">
        <f>P62-'淘系'!O60-'淘系达播'!O60-'抖音'!O60-'抖音达播'!O60-'快手'!O60-'京东POP财经口径'!O60-'京东自营财经口径'!O60-PDD!O60-'得物'!O60-'视频号+官网+小程序'!O60-'唯品会'!O60-'线下门店-直营'!O60-'线下门店-经销'!O60-'线下渠道'!O60</f>
      </c>
      <c r="V62" s="107"/>
      <c r="W62" s="107"/>
    </row>
    <row r="63">
      <c r="A63" s="1"/>
      <c r="B63" s="1"/>
      <c r="C63" s="160">
        <f>C62/C16</f>
      </c>
      <c r="D63" s="160"/>
      <c r="E63" s="160">
        <f>E62/E16</f>
      </c>
      <c r="F63" s="160">
        <f>F62/F16</f>
      </c>
      <c r="G63" s="160">
        <f>G62/G16</f>
      </c>
      <c r="H63" s="160">
        <f>H62/H16</f>
      </c>
      <c r="I63" s="160">
        <f>I62/I16</f>
      </c>
      <c r="J63" s="160">
        <f>J62/J16</f>
      </c>
      <c r="K63" s="160">
        <f>K62/K16</f>
      </c>
      <c r="L63" s="160">
        <f>L62/L16</f>
      </c>
      <c r="M63" s="160">
        <f>M62/M16</f>
      </c>
      <c r="N63" s="160">
        <f>N62/N16</f>
      </c>
      <c r="O63" s="160">
        <f>O62/O16</f>
      </c>
      <c r="P63" s="160">
        <f>P62/P16</f>
      </c>
      <c r="Q63" s="1"/>
      <c r="R63" s="1"/>
      <c r="S63" s="1"/>
      <c r="T63" s="1"/>
      <c r="U63" s="1"/>
    </row>
    <row r="64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7"/>
      <c r="W64" s="157"/>
    </row>
    <row r="65">
      <c r="A65" s="1"/>
      <c r="B65" s="149" t="str">
        <v>BU 可控运营费用</v>
      </c>
      <c r="C65" s="142">
        <f>C66+C67</f>
      </c>
      <c r="D65" s="142"/>
      <c r="E65" s="142">
        <f>E66+E67</f>
      </c>
      <c r="F65" s="142">
        <f>F66+F67</f>
      </c>
      <c r="G65" s="142">
        <f>G66+G67</f>
      </c>
      <c r="H65" s="142">
        <f>H66+H67</f>
      </c>
      <c r="I65" s="142">
        <f>I66+I67</f>
      </c>
      <c r="J65" s="142">
        <f>J66+J67</f>
      </c>
      <c r="K65" s="142">
        <f>K66+K67</f>
      </c>
      <c r="L65" s="142">
        <f>L66+L67</f>
      </c>
      <c r="M65" s="142">
        <f>M66+M67</f>
      </c>
      <c r="N65" s="142">
        <f>N66+N67</f>
      </c>
      <c r="O65" s="142">
        <f>O66+O67</f>
      </c>
      <c r="P65" s="150">
        <f>SUM(C65:O65)</f>
      </c>
      <c r="Q65" s="143">
        <f>P65/$P$16</f>
      </c>
      <c r="R65" s="1"/>
      <c r="S65" s="1"/>
      <c r="T65" s="1"/>
      <c r="U65" s="1"/>
    </row>
    <row r="66">
      <c r="A66" s="1"/>
      <c r="B66" s="154" t="str">
        <v>销售管理费用</v>
      </c>
      <c r="C66" s="153">
        <v>500000</v>
      </c>
      <c r="D66" s="159"/>
      <c r="E66" s="159">
        <v>500000</v>
      </c>
      <c r="F66" s="159">
        <v>500000</v>
      </c>
      <c r="G66" s="159">
        <v>500000</v>
      </c>
      <c r="H66" s="159">
        <v>500000</v>
      </c>
      <c r="I66" s="159">
        <v>500000</v>
      </c>
      <c r="J66" s="159">
        <v>500000</v>
      </c>
      <c r="K66" s="159">
        <v>500000</v>
      </c>
      <c r="L66" s="159">
        <v>500000</v>
      </c>
      <c r="M66" s="159">
        <v>500000</v>
      </c>
      <c r="N66" s="159">
        <v>500000</v>
      </c>
      <c r="O66" s="159">
        <v>500000</v>
      </c>
      <c r="P66" s="140">
        <f>SUM(C66:O66)</f>
      </c>
      <c r="Q66" s="155">
        <f>P66/$P$16</f>
      </c>
      <c r="R66" s="1"/>
      <c r="S66" s="1"/>
      <c r="T66" s="1"/>
      <c r="U66" s="1"/>
    </row>
    <row r="67">
      <c r="A67" s="1"/>
      <c r="B67" s="154" t="str">
        <v>研发费用</v>
      </c>
      <c r="C67" s="153">
        <v>3500000</v>
      </c>
      <c r="D67" s="153"/>
      <c r="E67" s="153">
        <v>3500000</v>
      </c>
      <c r="F67" s="153">
        <v>3300000</v>
      </c>
      <c r="G67" s="153">
        <v>3300000</v>
      </c>
      <c r="H67" s="153">
        <v>3300000</v>
      </c>
      <c r="I67" s="153">
        <v>2300000</v>
      </c>
      <c r="J67" s="153">
        <v>1800000</v>
      </c>
      <c r="K67" s="153">
        <v>1800000</v>
      </c>
      <c r="L67" s="153">
        <v>1800000</v>
      </c>
      <c r="M67" s="153">
        <v>1800000</v>
      </c>
      <c r="N67" s="153">
        <v>1800000</v>
      </c>
      <c r="O67" s="153">
        <v>1800000</v>
      </c>
      <c r="P67" s="140">
        <f>SUM(C67:O67)</f>
      </c>
      <c r="Q67" s="155">
        <f>P67/$P$16</f>
      </c>
      <c r="R67" s="1"/>
      <c r="S67" s="1"/>
      <c r="T67" s="1"/>
      <c r="U67" s="1"/>
    </row>
    <row r="68">
      <c r="A68" s="1"/>
      <c r="B68" s="148" t="str">
        <v>BU可控利润</v>
      </c>
      <c r="C68" s="152">
        <f>C62-C65</f>
      </c>
      <c r="D68" s="152"/>
      <c r="E68" s="152">
        <f>E62-E65</f>
      </c>
      <c r="F68" s="152">
        <f>F62-F65</f>
      </c>
      <c r="G68" s="152">
        <f>G62-G65</f>
      </c>
      <c r="H68" s="152">
        <f>H62-H65</f>
      </c>
      <c r="I68" s="152">
        <f>I62-I65</f>
      </c>
      <c r="J68" s="152">
        <f>J62-J65</f>
      </c>
      <c r="K68" s="152">
        <f>K62-K65</f>
      </c>
      <c r="L68" s="152">
        <f>L62-L65</f>
      </c>
      <c r="M68" s="152">
        <f>M62-M65</f>
      </c>
      <c r="N68" s="152">
        <f>N62-N65</f>
      </c>
      <c r="O68" s="152">
        <f>O62-O65</f>
      </c>
      <c r="P68" s="137">
        <f>SUM(C68:O68)</f>
      </c>
      <c r="Q68" s="147">
        <f>P68/$P$16</f>
      </c>
      <c r="R68" s="1"/>
      <c r="S68" s="1"/>
      <c r="T68" s="1"/>
      <c r="U68" s="1"/>
    </row>
    <row r="69">
      <c r="A69" s="1"/>
      <c r="B69" s="151"/>
      <c r="C69" s="140"/>
      <c r="D69" s="140"/>
      <c r="E69" s="140"/>
      <c r="F69" s="140"/>
      <c r="G69" s="140"/>
      <c r="H69" s="140"/>
      <c r="I69" s="140"/>
      <c r="J69" s="140"/>
      <c r="K69" s="140"/>
      <c r="L69" s="140"/>
      <c r="M69" s="140"/>
      <c r="N69" s="140"/>
      <c r="O69" s="140"/>
      <c r="P69" s="140"/>
      <c r="Q69" s="15"/>
      <c r="R69" s="1"/>
      <c r="S69" s="1"/>
      <c r="T69" s="1"/>
      <c r="U69" s="1"/>
    </row>
    <row r="70">
      <c r="A70" s="1"/>
      <c r="B70" s="149" t="str">
        <v>BU贡献费用</v>
      </c>
      <c r="C70" s="142">
        <v>2800000</v>
      </c>
      <c r="D70" s="142"/>
      <c r="E70" s="142">
        <v>2800000</v>
      </c>
      <c r="F70" s="142">
        <v>2800000</v>
      </c>
      <c r="G70" s="142">
        <v>2800000</v>
      </c>
      <c r="H70" s="142">
        <v>2800000</v>
      </c>
      <c r="I70" s="142">
        <v>2800000</v>
      </c>
      <c r="J70" s="142">
        <v>2800000</v>
      </c>
      <c r="K70" s="142">
        <v>2800000</v>
      </c>
      <c r="L70" s="142">
        <v>2800000</v>
      </c>
      <c r="M70" s="142">
        <v>2800000</v>
      </c>
      <c r="N70" s="142">
        <v>2800000</v>
      </c>
      <c r="O70" s="142">
        <v>2800000</v>
      </c>
      <c r="P70" s="150">
        <f>SUM(C70:O70)</f>
      </c>
      <c r="Q70" s="143">
        <f>P70/$P$16</f>
      </c>
      <c r="R70" s="1"/>
      <c r="S70" s="1"/>
      <c r="T70" s="1"/>
      <c r="U70" s="1"/>
    </row>
    <row r="71">
      <c r="A71" s="1"/>
      <c r="B71" s="148" t="str">
        <v>BU贡献利润</v>
      </c>
      <c r="C71" s="136">
        <f>C68-C70</f>
      </c>
      <c r="D71" s="136"/>
      <c r="E71" s="136">
        <f>E68-E70</f>
      </c>
      <c r="F71" s="136">
        <f>F68-F70</f>
      </c>
      <c r="G71" s="136">
        <f>G68-G70</f>
      </c>
      <c r="H71" s="136">
        <f>H68-H70</f>
      </c>
      <c r="I71" s="136">
        <f>I68-I70</f>
      </c>
      <c r="J71" s="136">
        <f>J68-J70</f>
      </c>
      <c r="K71" s="136">
        <f>K68-K70</f>
      </c>
      <c r="L71" s="136">
        <f>L68-L70</f>
      </c>
      <c r="M71" s="136">
        <f>M68-M70</f>
      </c>
      <c r="N71" s="136">
        <f>N68-N70</f>
      </c>
      <c r="O71" s="136">
        <f>O68-O70</f>
      </c>
      <c r="P71" s="137">
        <f>SUM(C71:O71)</f>
      </c>
      <c r="Q71" s="147">
        <f>P71/$P$16</f>
      </c>
      <c r="R71" s="1"/>
      <c r="S71" s="1"/>
      <c r="T71" s="1"/>
      <c r="U71" s="1"/>
    </row>
    <row r="72">
      <c r="A72" s="1"/>
      <c r="B72" s="141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5"/>
      <c r="R72" s="1"/>
      <c r="S72" s="1"/>
      <c r="T72" s="1"/>
      <c r="U72" s="1"/>
    </row>
    <row r="73">
      <c r="A73" s="1"/>
      <c r="B73" s="145" t="str">
        <v>集团分摊费用</v>
      </c>
      <c r="C73" s="142">
        <v>1200000</v>
      </c>
      <c r="D73" s="142"/>
      <c r="E73" s="142">
        <v>1200000</v>
      </c>
      <c r="F73" s="142">
        <v>1200000</v>
      </c>
      <c r="G73" s="142">
        <v>1200000</v>
      </c>
      <c r="H73" s="142">
        <v>1200000</v>
      </c>
      <c r="I73" s="142">
        <v>1200000</v>
      </c>
      <c r="J73" s="142">
        <v>1200000</v>
      </c>
      <c r="K73" s="142">
        <v>1200000</v>
      </c>
      <c r="L73" s="142">
        <v>1200000</v>
      </c>
      <c r="M73" s="142">
        <v>1200000</v>
      </c>
      <c r="N73" s="142">
        <v>1200000</v>
      </c>
      <c r="O73" s="142">
        <v>1200000</v>
      </c>
      <c r="P73" s="144">
        <f>SUM(C73:O73)</f>
      </c>
      <c r="Q73" s="143">
        <f>P73/$P$16</f>
      </c>
      <c r="R73" s="1"/>
      <c r="S73" s="1"/>
      <c r="T73" s="1"/>
      <c r="U73" s="1"/>
    </row>
    <row r="74">
      <c r="A74" s="1"/>
      <c r="B74" s="141"/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5"/>
      <c r="R74" s="1"/>
      <c r="S74" s="1"/>
      <c r="T74" s="1"/>
      <c r="U74" s="1"/>
    </row>
    <row r="75">
      <c r="A75" s="1"/>
      <c r="B75" s="138" t="str">
        <v>净利润</v>
      </c>
      <c r="C75" s="136">
        <f>C71-C73</f>
      </c>
      <c r="D75" s="136"/>
      <c r="E75" s="136">
        <f>E71-E73</f>
      </c>
      <c r="F75" s="136">
        <f>F71-F73</f>
      </c>
      <c r="G75" s="136">
        <f>G71-G73</f>
      </c>
      <c r="H75" s="136">
        <f>H71-H73</f>
      </c>
      <c r="I75" s="136">
        <f>I71-I73</f>
      </c>
      <c r="J75" s="136">
        <f>J71-J73</f>
      </c>
      <c r="K75" s="136">
        <f>K71-K73</f>
      </c>
      <c r="L75" s="136">
        <f>L71-L73</f>
      </c>
      <c r="M75" s="136">
        <f>M71-M73</f>
      </c>
      <c r="N75" s="136">
        <f>N71-N73</f>
      </c>
      <c r="O75" s="136">
        <f>O71-O73</f>
      </c>
      <c r="P75" s="137">
        <f>SUM(C75:O75)</f>
      </c>
      <c r="Q75" s="139">
        <f>P75/$P$16</f>
      </c>
      <c r="R75" s="1"/>
      <c r="S75" s="1"/>
      <c r="T75" s="1"/>
      <c r="U75" s="1"/>
    </row>
    <row r="76">
      <c r="A76" s="1"/>
      <c r="B76" s="133" t="str">
        <v>净利润率</v>
      </c>
      <c r="C76" s="132">
        <f>C75/C16</f>
      </c>
      <c r="D76" s="132"/>
      <c r="E76" s="132">
        <f>E75/E16</f>
      </c>
      <c r="F76" s="132">
        <f>F75/F16</f>
      </c>
      <c r="G76" s="132">
        <f>G75/G16</f>
      </c>
      <c r="H76" s="132">
        <f>H75/H16</f>
      </c>
      <c r="I76" s="132">
        <f>I75/I16</f>
      </c>
      <c r="J76" s="132">
        <f>J75/J16</f>
      </c>
      <c r="K76" s="132">
        <f>K75/K16</f>
      </c>
      <c r="L76" s="132">
        <f>L75/L16</f>
      </c>
      <c r="M76" s="132">
        <f>M75/M16</f>
      </c>
      <c r="N76" s="132">
        <f>N75/N16</f>
      </c>
      <c r="O76" s="132">
        <f>O75/O16</f>
      </c>
      <c r="P76" s="132"/>
      <c r="Q76" s="134"/>
      <c r="R76" s="1"/>
      <c r="S76" s="1"/>
      <c r="T76" s="1"/>
      <c r="U76" s="1"/>
    </row>
    <row r="77">
      <c r="A77" s="1"/>
      <c r="B77" s="15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>
      <c r="A78" s="1"/>
      <c r="B78" s="131" t="str">
        <v>汇总</v>
      </c>
      <c r="C78" s="131" t="str">
        <v>去国补GMV</v>
      </c>
      <c r="D78" s="131"/>
      <c r="E78" s="131" t="str">
        <v>营业收入</v>
      </c>
      <c r="F78" s="130" t="str">
        <v>利润</v>
      </c>
      <c r="G78" s="130" t="str" xml:space="preserve">
        <v> 利润率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>
      <c r="A79" s="1"/>
      <c r="B79" s="121" t="str">
        <v>2026年全年</v>
      </c>
      <c r="C79" s="123">
        <f>P6</f>
      </c>
      <c r="D79" s="124"/>
      <c r="E79" s="124">
        <f>P16</f>
      </c>
      <c r="F79" s="123">
        <f>P75</f>
      </c>
      <c r="G79" s="122">
        <f>F79/E79</f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>
      <c r="A80" s="1"/>
      <c r="B80" s="121" t="str">
        <v>26年H1</v>
      </c>
      <c r="C80" s="123">
        <f>SUM(C6:I6)</f>
      </c>
      <c r="D80" s="124"/>
      <c r="E80" s="124">
        <f>SUM(C16:I16)</f>
      </c>
      <c r="F80" s="123">
        <f>SUM(C75:I75)</f>
      </c>
      <c r="G80" s="122">
        <f>F80/E80</f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>
      <c r="A81" s="1"/>
      <c r="B81" s="121" t="str">
        <v>26年H2</v>
      </c>
      <c r="C81" s="123">
        <f>SUM(J6:O6)</f>
      </c>
      <c r="D81" s="124"/>
      <c r="E81" s="124">
        <f>SUM(J16:O16)</f>
      </c>
      <c r="F81" s="123">
        <f>SUM(J75:O75)</f>
      </c>
      <c r="G81" s="122">
        <f>F81/E81</f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>
      <c r="A84" s="1"/>
      <c r="B84" s="1"/>
      <c r="C84" s="119">
        <f>C16-C18-C20-C26-C37-C44-C49-C60-C62</f>
      </c>
      <c r="D84" s="158"/>
      <c r="E84" s="158">
        <f>E16-E18-E20-E26-E37-E44-E49-E60-E62</f>
      </c>
      <c r="F84" s="158">
        <f>F16-F18-F20-F26-F37-F44-F49-F60-F62</f>
      </c>
      <c r="G84" s="158">
        <f>G16-G18-G20-G26-G37-G44-G49-G60-G62</f>
      </c>
      <c r="H84" s="158">
        <f>H16-H18-H20-H26-H37-H44-H49-H60-H62</f>
      </c>
      <c r="I84" s="158">
        <f>I16-I18-I20-I26-I37-I44-I49-I60-I62</f>
      </c>
      <c r="J84" s="158">
        <f>J16-J18-J20-J26-J37-J44-J49-J60-J62</f>
      </c>
      <c r="K84" s="158">
        <f>K16-K18-K20-K26-K37-K44-K49-K60-K62</f>
      </c>
      <c r="L84" s="158">
        <f>L16-L18-L20-L26-L37-L44-L49-L60-L62</f>
      </c>
      <c r="M84" s="158">
        <f>M16-M18-M20-M26-M37-M44-M49-M60-M62</f>
      </c>
      <c r="N84" s="158">
        <f>N16-N18-N20-N26-N37-N44-N49-N60-N62</f>
      </c>
      <c r="O84" s="158">
        <f>O16-O18-O20-O26-O37-O44-O49-O60-O62</f>
      </c>
      <c r="P84" s="158">
        <f>P16-P18-P20-P26-P37-P44-P49-P60-P62</f>
      </c>
      <c r="Q84" s="1"/>
      <c r="R84" s="1"/>
      <c r="S84" s="1"/>
      <c r="T84" s="1"/>
      <c r="U84" s="1"/>
    </row>
    <row r="85">
      <c r="A85" s="1"/>
      <c r="B85" s="1"/>
      <c r="C85" s="119">
        <f>C10-C11-C12-C13-C15</f>
      </c>
      <c r="D85" s="119"/>
      <c r="E85" s="119">
        <f>E10-E11-E12-E13-E15</f>
      </c>
      <c r="F85" s="119">
        <f>F10-F11-F12-F13-F15</f>
      </c>
      <c r="G85" s="119">
        <f>G10-G11-G12-G13-G15</f>
      </c>
      <c r="H85" s="119">
        <f>H10-H11-H12-H13-H15</f>
      </c>
      <c r="I85" s="119">
        <f>I10-I11-I12-I13-I15</f>
      </c>
      <c r="J85" s="119">
        <f>J10-J11-J12-J13-J15</f>
      </c>
      <c r="K85" s="119">
        <f>K10-K11-K12-K13-K15</f>
      </c>
      <c r="L85" s="119">
        <f>L10-L11-L12-L13-L15</f>
      </c>
      <c r="M85" s="119">
        <f>M10-M11-M12-M13-M15</f>
      </c>
      <c r="N85" s="119">
        <f>N10-N11-N12-N13-N15</f>
      </c>
      <c r="O85" s="119">
        <f>O10-O11-O12-O13-O15</f>
      </c>
      <c r="P85" s="119">
        <f>P10-P11-P12-P13-P15</f>
      </c>
      <c r="Q85" s="1"/>
      <c r="R85" s="1"/>
      <c r="S85" s="1"/>
      <c r="T85" s="1"/>
      <c r="U85" s="1"/>
    </row>
    <row r="86">
      <c r="A86" s="1"/>
      <c r="B86" s="158"/>
      <c r="C86" s="158">
        <f>C62-'淘系'!C60-'淘系达播'!C60-'抖音'!C60-'抖音达播'!C60-'快手'!C60-'京东POP财经口径'!C60-'京东自营财经口径'!C60-PDD!C60-'得物'!C60-'视频号+官网+小程序'!C60-'唯品会'!C60-'线下门店-直营'!C60-'线下门店-经销'!C60-'线下渠道'!C60</f>
      </c>
      <c r="D86" s="158"/>
      <c r="E86" s="158">
        <f>E62-'淘系'!D60-'淘系达播'!D60-'抖音'!D60-'抖音达播'!D60-'快手'!D60-'京东POP财经口径'!D60-'京东自营财经口径'!D60-PDD!D60-'得物'!D60-'视频号+官网+小程序'!D60-'唯品会'!D60-'线下门店-直营'!D60-'线下门店-经销'!D60-'线下渠道'!D60</f>
      </c>
      <c r="F86" s="158">
        <f>F62-'淘系'!E60-'淘系达播'!E60-'抖音'!E60-'抖音达播'!E60-'快手'!E60-'京东POP财经口径'!E60-'京东自营财经口径'!E60-PDD!E60-'得物'!E60-'视频号+官网+小程序'!E60-'唯品会'!E60-'线下门店-直营'!E60-'线下门店-经销'!E60-'线下渠道'!E60</f>
      </c>
      <c r="G86" s="158">
        <f>G62-'淘系'!F60-'淘系达播'!F60-'抖音'!F60-'抖音达播'!F60-'快手'!F60-'京东POP财经口径'!F60-'京东自营财经口径'!F60-PDD!F60-'得物'!F60-'视频号+官网+小程序'!F60-'唯品会'!F60-'线下门店-直营'!F60-'线下门店-经销'!F60-'线下渠道'!F60</f>
      </c>
      <c r="H86" s="158">
        <f>H62-'淘系'!G60-'淘系达播'!G60-'抖音'!G60-'抖音达播'!G60-'快手'!G60-'京东POP财经口径'!G60-'京东自营财经口径'!G60-PDD!G60-'得物'!G60-'视频号+官网+小程序'!G60-'唯品会'!G60-'线下门店-直营'!G60-'线下门店-经销'!G60-'线下渠道'!G60</f>
      </c>
      <c r="I86" s="158">
        <f>I62-'淘系'!H60-'淘系达播'!H60-'抖音'!H60-'抖音达播'!H60-'快手'!H60-'京东POP财经口径'!H60-'京东自营财经口径'!H60-PDD!H60-'得物'!H60-'视频号+官网+小程序'!H60-'唯品会'!H60-'线下门店-直营'!H60-'线下门店-经销'!H60-'线下渠道'!H60</f>
      </c>
      <c r="J86" s="158">
        <f>J62-'淘系'!I60-'淘系达播'!I60-'抖音'!I60-'抖音达播'!I60-'快手'!I60-'京东POP财经口径'!I60-'京东自营财经口径'!I60-PDD!I60-'得物'!I60-'视频号+官网+小程序'!I60-'唯品会'!I60-'线下门店-直营'!I60-'线下门店-经销'!I60-'线下渠道'!I60</f>
      </c>
      <c r="K86" s="158">
        <f>K62-'淘系'!J60-'淘系达播'!J60-'抖音'!J60-'抖音达播'!J60-'快手'!J60-'京东POP财经口径'!J60-'京东自营财经口径'!J60-PDD!J60-'得物'!J60-'视频号+官网+小程序'!J60-'唯品会'!J60-'线下门店-直营'!J60-'线下门店-经销'!J60-'线下渠道'!J60</f>
      </c>
      <c r="L86" s="158">
        <f>L62-'淘系'!K60-'淘系达播'!K60-'抖音'!K60-'抖音达播'!K60-'快手'!K60-'京东POP财经口径'!K60-'京东自营财经口径'!K60-PDD!K60-'得物'!K60-'视频号+官网+小程序'!K60-'唯品会'!K60-'线下门店-直营'!K60-'线下门店-经销'!K60-'线下渠道'!K60</f>
      </c>
      <c r="M86" s="158">
        <f>M62-'淘系'!L60-'淘系达播'!L60-'抖音'!L60-'抖音达播'!L60-'快手'!L60-'京东POP财经口径'!L60-'京东自营财经口径'!L60-PDD!L60-'得物'!L60-'视频号+官网+小程序'!L60-'唯品会'!L60-'线下门店-直营'!L60-'线下门店-经销'!L60-'线下渠道'!L60</f>
      </c>
      <c r="N86" s="158">
        <f>N62-'淘系'!M60-'淘系达播'!M60-'抖音'!M60-'抖音达播'!M60-'快手'!M60-'京东POP财经口径'!M60-'京东自营财经口径'!M60-PDD!M60-'得物'!M60-'视频号+官网+小程序'!M60-'唯品会'!M60-'线下门店-直营'!M60-'线下门店-经销'!M60-'线下渠道'!M60</f>
      </c>
      <c r="O86" s="158">
        <f>O62-'淘系'!N60-'淘系达播'!N60-'抖音'!N60-'抖音达播'!N60-'快手'!N60-'京东POP财经口径'!N60-'京东自营财经口径'!N60-PDD!N60-'得物'!N60-'视频号+官网+小程序'!N60-'唯品会'!N60-'线下门店-直营'!N60-'线下门店-经销'!N60-'线下渠道'!N60</f>
      </c>
      <c r="P86" s="158">
        <f>P62-'淘系'!O60-'淘系达播'!O60-'抖音'!O60-'抖音达播'!O60-'快手'!O60-'京东POP财经口径'!O60-'京东自营财经口径'!O60-PDD!O60-'得物'!O60-'视频号+官网+小程序'!O60-'唯品会'!O60-'线下门店-直营'!O60-'线下门店-经销'!O60-'线下渠道'!O60</f>
      </c>
      <c r="Q86" s="1"/>
      <c r="R86" s="1"/>
      <c r="S86" s="1"/>
      <c r="T86" s="1"/>
      <c r="U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>
      <c r="A94" s="1"/>
      <c r="B94" s="129" t="str">
        <v>品牌及内容费用</v>
      </c>
      <c r="C94" s="129">
        <v>590816.1061946903</v>
      </c>
      <c r="D94" s="129"/>
      <c r="E94" s="129">
        <v>1555478.5791543757</v>
      </c>
      <c r="F94" s="129">
        <v>2581397.188790561</v>
      </c>
      <c r="G94" s="129">
        <v>1541409.8141592925</v>
      </c>
      <c r="H94" s="129">
        <v>6001680.8185840715</v>
      </c>
      <c r="I94" s="129">
        <v>3561493.4657079643</v>
      </c>
      <c r="J94" s="129">
        <v>824897.7035398232</v>
      </c>
      <c r="K94" s="129">
        <v>1275088.216814159</v>
      </c>
      <c r="L94" s="129">
        <v>1059422.3318584068</v>
      </c>
      <c r="M94" s="129">
        <v>3244700.9707857985</v>
      </c>
      <c r="N94" s="129">
        <v>1405007.9768632057</v>
      </c>
      <c r="O94" s="129">
        <v>917198.1602516262</v>
      </c>
      <c r="P94" s="129">
        <v>24558591.332703978</v>
      </c>
      <c r="Q94" s="128">
        <v>0.06159487030185407</v>
      </c>
      <c r="R94" s="1"/>
      <c r="S94" s="1"/>
      <c r="T94" s="1"/>
      <c r="U94" s="1"/>
    </row>
    <row r="95">
      <c r="A95" s="1"/>
      <c r="B95" s="117" t="str">
        <v>展会</v>
      </c>
      <c r="C95" s="117">
        <v>0</v>
      </c>
      <c r="D95" s="117"/>
      <c r="E95" s="117">
        <v>0</v>
      </c>
      <c r="F95" s="117">
        <v>64814.26745329402</v>
      </c>
      <c r="G95" s="117">
        <v>54155.07374631271</v>
      </c>
      <c r="H95" s="117">
        <v>115388.16371681416</v>
      </c>
      <c r="I95" s="117">
        <v>101584.80199115047</v>
      </c>
      <c r="J95" s="117">
        <v>65500.287610619496</v>
      </c>
      <c r="K95" s="117">
        <v>90329.93362831855</v>
      </c>
      <c r="L95" s="117">
        <v>72053.16371681415</v>
      </c>
      <c r="M95" s="117">
        <v>121420.23883143195</v>
      </c>
      <c r="N95" s="117">
        <v>91985.61360486197</v>
      </c>
      <c r="O95" s="117">
        <v>0</v>
      </c>
      <c r="P95" s="117">
        <v>777231.5442996175</v>
      </c>
      <c r="Q95" s="120">
        <v>0.001949357579882562</v>
      </c>
      <c r="R95" s="1"/>
      <c r="S95" s="1"/>
      <c r="T95" s="1"/>
      <c r="U95" s="1"/>
    </row>
    <row r="96">
      <c r="A96" s="1"/>
      <c r="B96" s="117" t="str">
        <v>品牌营销</v>
      </c>
      <c r="C96" s="117">
        <v>209195</v>
      </c>
      <c r="D96" s="117"/>
      <c r="E96" s="117">
        <v>209195</v>
      </c>
      <c r="F96" s="117">
        <v>209195</v>
      </c>
      <c r="G96" s="117">
        <v>274181.0884955753</v>
      </c>
      <c r="H96" s="117">
        <v>901523.9823008858</v>
      </c>
      <c r="I96" s="117">
        <v>534266.3663716814</v>
      </c>
      <c r="J96" s="117">
        <v>209195</v>
      </c>
      <c r="K96" s="117">
        <v>317590.9203539823</v>
      </c>
      <c r="L96" s="117">
        <v>439765.12389380526</v>
      </c>
      <c r="M96" s="117">
        <v>354899.28659771837</v>
      </c>
      <c r="N96" s="117">
        <v>319577.73632583447</v>
      </c>
      <c r="O96" s="117">
        <v>209195</v>
      </c>
      <c r="P96" s="117">
        <v>4187779.504339483</v>
      </c>
      <c r="Q96" s="120">
        <v>0.010503278951470404</v>
      </c>
      <c r="R96" s="1"/>
      <c r="S96" s="1"/>
      <c r="T96" s="1"/>
      <c r="U96" s="1"/>
    </row>
    <row r="97">
      <c r="A97" s="1"/>
      <c r="B97" s="117" t="str">
        <v>内容素材制作</v>
      </c>
      <c r="C97" s="117">
        <v>31801.758849557526</v>
      </c>
      <c r="D97" s="117"/>
      <c r="E97" s="117">
        <v>25890.068829891843</v>
      </c>
      <c r="F97" s="117">
        <v>25925.706981317602</v>
      </c>
      <c r="G97" s="117">
        <v>108310.14749262542</v>
      </c>
      <c r="H97" s="117">
        <v>692328.9823008849</v>
      </c>
      <c r="I97" s="117">
        <v>446973.1287610621</v>
      </c>
      <c r="J97" s="117">
        <v>0</v>
      </c>
      <c r="K97" s="117">
        <v>108395.92035398229</v>
      </c>
      <c r="L97" s="117">
        <v>230570.1238938053</v>
      </c>
      <c r="M97" s="117">
        <v>242840.4776628639</v>
      </c>
      <c r="N97" s="117">
        <v>183971.22720972393</v>
      </c>
      <c r="O97" s="117">
        <v>32181.961829619366</v>
      </c>
      <c r="P97" s="117">
        <v>2129189.5041653346</v>
      </c>
      <c r="Q97" s="120">
        <v>0.00534017401814443</v>
      </c>
      <c r="R97" s="1"/>
      <c r="S97" s="1"/>
      <c r="T97" s="1"/>
      <c r="U97" s="1"/>
    </row>
    <row r="98">
      <c r="A98" s="1"/>
      <c r="B98" s="117" t="str">
        <v>公关费用</v>
      </c>
      <c r="C98" s="117">
        <v>31801.758849557526</v>
      </c>
      <c r="D98" s="117"/>
      <c r="E98" s="117">
        <v>25890.068829891843</v>
      </c>
      <c r="F98" s="117">
        <v>207405.65585054082</v>
      </c>
      <c r="G98" s="117">
        <v>21662.029498525084</v>
      </c>
      <c r="H98" s="117">
        <v>138465.79646017702</v>
      </c>
      <c r="I98" s="117">
        <v>40633.92079646019</v>
      </c>
      <c r="J98" s="117">
        <v>26200.115044247796</v>
      </c>
      <c r="K98" s="117">
        <v>36131.973451327445</v>
      </c>
      <c r="L98" s="117">
        <v>28821.265486725664</v>
      </c>
      <c r="M98" s="117">
        <v>97136.19106514555</v>
      </c>
      <c r="N98" s="117">
        <v>73588.49088388958</v>
      </c>
      <c r="O98" s="117">
        <v>32181.961829619366</v>
      </c>
      <c r="P98" s="117">
        <v>759919.2280461078</v>
      </c>
      <c r="Q98" s="120">
        <v>0.0019059369349516948</v>
      </c>
      <c r="R98" s="1"/>
      <c r="S98" s="1"/>
      <c r="T98" s="1"/>
      <c r="U98" s="1"/>
    </row>
    <row r="99">
      <c r="A99" s="1"/>
      <c r="B99" s="117" t="str">
        <v>达人种草、样机及加热</v>
      </c>
      <c r="C99" s="117">
        <v>318017.5884955753</v>
      </c>
      <c r="D99" s="117"/>
      <c r="E99" s="117">
        <v>1294503.441494592</v>
      </c>
      <c r="F99" s="117">
        <v>2074056.5585054087</v>
      </c>
      <c r="G99" s="117">
        <v>1083101.474926254</v>
      </c>
      <c r="H99" s="117">
        <v>4153973.893805309</v>
      </c>
      <c r="I99" s="117">
        <v>2438035.24778761</v>
      </c>
      <c r="J99" s="117">
        <v>524002.30088495597</v>
      </c>
      <c r="K99" s="117">
        <v>722639.4690265484</v>
      </c>
      <c r="L99" s="117">
        <v>288212.6548672566</v>
      </c>
      <c r="M99" s="117">
        <v>2428404.7766286386</v>
      </c>
      <c r="N99" s="117">
        <v>735884.9088388957</v>
      </c>
      <c r="O99" s="117">
        <v>643639.2365923874</v>
      </c>
      <c r="P99" s="117">
        <v>16704471.551853433</v>
      </c>
      <c r="Q99" s="120">
        <v>0.04189612281740498</v>
      </c>
      <c r="R99" s="1"/>
      <c r="S99" s="1"/>
      <c r="T99" s="1"/>
      <c r="U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</sheetData>
  <legacyDrawing r:id="rId1"/>
  <picture r:id="rId3"/>
</worksheet>
</file>

<file path=xl/worksheets/sheet8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3" xSplit="2" ySplit="2"/>
    </sheetView>
  </sheetViews>
  <sheetFormatPr defaultColWidth="14" defaultRowHeight="19"/>
  <cols>
    <col collapsed="false" customWidth="true" hidden="false" max="1" min="1" style="0" width="4"/>
    <col collapsed="false" customWidth="true" hidden="false" max="2" min="2" style="0" width="20"/>
    <col collapsed="false" customWidth="true" hidden="false" max="3" min="3" style="0" width="16"/>
    <col collapsed="false" customWidth="true" hidden="false" max="4" min="4" style="0" width="16"/>
    <col collapsed="false" customWidth="true" hidden="false" max="5" min="5" style="0" width="16"/>
    <col collapsed="false" customWidth="true" hidden="false" max="6" min="6" style="0" width="16"/>
    <col collapsed="false" customWidth="true" hidden="false" max="7" min="7" style="0" width="16"/>
    <col collapsed="false" customWidth="true" hidden="false" max="8" min="8" style="0" width="16"/>
    <col collapsed="false" customWidth="true" hidden="false" max="9" min="9" style="0" width="16"/>
    <col collapsed="false" customWidth="true" hidden="false" max="10" min="10" style="0" width="16"/>
    <col collapsed="false" customWidth="true" hidden="false" max="11" min="11" style="0" width="16"/>
    <col collapsed="false" customWidth="true" hidden="false" max="12" min="12" style="0" width="16"/>
    <col collapsed="false" customWidth="true" hidden="false" max="13" min="13" style="0" width="16"/>
    <col collapsed="false" customWidth="true" hidden="false" max="14" min="14" style="0" width="16"/>
    <col collapsed="false" customWidth="true" hidden="false" max="15" min="15" style="0" width="16"/>
    <col collapsed="false" customWidth="true" hidden="false" max="16" min="16" style="0" width="16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1"/>
    <col collapsed="false" customWidth="true" hidden="false" max="20" min="20" style="0" width="11"/>
    <col collapsed="false" customWidth="true" hidden="false" max="21" min="21" style="0" width="11"/>
    <col collapsed="false" customWidth="true" hidden="false" max="22" min="22" style="0" width="11"/>
  </cols>
  <sheetData>
    <row r="1">
      <c r="A1" s="1"/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  <c r="R1" s="1"/>
      <c r="S1" s="1"/>
      <c r="T1" s="1"/>
    </row>
    <row r="2">
      <c r="A2" s="1"/>
      <c r="B2" s="90" t="str">
        <v>退后销量</v>
      </c>
      <c r="C2" s="94">
        <f>'淘系'!C2+'抖音'!C2+PDD!C2+'得物'!C2+'京东自营财经口径'!C2+'京东POP财经口径'!C2+'视频号+官网+小程序'!C2+'快手'!C2+'唯品会'!C2+'线下门店-直营'!C2+'线下门店-经销'!C2+'线下渠道'!C2+'淘系达播'!C2+'抖音达播'!C2</f>
      </c>
      <c r="D2" s="94">
        <f>'淘系'!D2+'抖音'!D2+PDD!D2+'得物'!D2+'京东自营财经口径'!D2+'京东POP财经口径'!D2+'视频号+官网+小程序'!D2+'快手'!D2+'唯品会'!D2+'线下门店-直营'!D2+'线下门店-经销'!D2+'线下渠道'!D2+'淘系达播'!D2+'抖音达播'!D2</f>
      </c>
      <c r="E2" s="94">
        <f>'淘系'!E2+'抖音'!E2+PDD!E2+'得物'!E2+'京东自营财经口径'!E2+'京东POP财经口径'!E2+'视频号+官网+小程序'!E2+'快手'!E2+'唯品会'!E2+'线下门店-直营'!E2+'线下门店-经销'!E2+'线下渠道'!E2+'淘系达播'!E2+'抖音达播'!E2</f>
      </c>
      <c r="F2" s="94">
        <f>'淘系'!F2+'抖音'!F2+PDD!F2+'得物'!F2+'京东自营财经口径'!F2+'京东POP财经口径'!F2+'视频号+官网+小程序'!F2+'快手'!F2+'唯品会'!F2+'线下门店-直营'!F2+'线下门店-经销'!F2+'线下渠道'!F2+'淘系达播'!F2+'抖音达播'!F2</f>
      </c>
      <c r="G2" s="94">
        <f>'淘系'!G2+'抖音'!G2+PDD!G2+'得物'!G2+'京东自营财经口径'!G2+'京东POP财经口径'!G2+'视频号+官网+小程序'!G2+'快手'!G2+'唯品会'!G2+'线下门店-直营'!G2+'线下门店-经销'!G2+'线下渠道'!G2+'淘系达播'!G2+'抖音达播'!G2</f>
      </c>
      <c r="H2" s="94">
        <f>'淘系'!H2+'抖音'!H2+PDD!H2+'得物'!H2+'京东自营财经口径'!H2+'京东POP财经口径'!H2+'视频号+官网+小程序'!H2+'快手'!H2+'唯品会'!H2+'线下门店-直营'!H2+'线下门店-经销'!H2+'线下渠道'!H2+'淘系达播'!H2+'抖音达播'!H2</f>
      </c>
      <c r="I2" s="94">
        <f>'淘系'!I2+'抖音'!I2+PDD!I2+'得物'!I2+'京东自营财经口径'!I2+'京东POP财经口径'!I2+'视频号+官网+小程序'!I2+'快手'!I2+'唯品会'!I2+'线下门店-直营'!I2+'线下门店-经销'!I2+'线下渠道'!I2+'淘系达播'!I2+'抖音达播'!I2</f>
      </c>
      <c r="J2" s="94">
        <f>'淘系'!J2+'抖音'!J2+PDD!J2+'得物'!J2+'京东自营财经口径'!J2+'京东POP财经口径'!J2+'视频号+官网+小程序'!J2+'快手'!J2+'唯品会'!J2+'线下门店-直营'!J2+'线下门店-经销'!J2+'线下渠道'!J2+'淘系达播'!J2+'抖音达播'!J2</f>
      </c>
      <c r="K2" s="94">
        <f>'淘系'!K2+'抖音'!K2+PDD!K2+'得物'!K2+'京东自营财经口径'!K2+'京东POP财经口径'!K2+'视频号+官网+小程序'!K2+'快手'!K2+'唯品会'!K2+'线下门店-直营'!K2+'线下门店-经销'!K2+'线下渠道'!K2+'淘系达播'!K2+'抖音达播'!K2</f>
      </c>
      <c r="L2" s="94">
        <f>'淘系'!L2+'抖音'!L2+PDD!L2+'得物'!L2+'京东自营财经口径'!L2+'京东POP财经口径'!L2+'视频号+官网+小程序'!L2+'快手'!L2+'唯品会'!L2+'线下门店-直营'!L2+'线下门店-经销'!L2+'线下渠道'!L2+'淘系达播'!L2+'抖音达播'!L2</f>
      </c>
      <c r="M2" s="94">
        <f>'淘系'!M2+'抖音'!M2+PDD!M2+'得物'!M2+'京东自营财经口径'!M2+'京东POP财经口径'!M2+'视频号+官网+小程序'!M2+'快手'!M2+'唯品会'!M2+'线下门店-直营'!M2+'线下门店-经销'!M2+'线下渠道'!M2+'淘系达播'!M2+'抖音达播'!M2</f>
      </c>
      <c r="N2" s="94">
        <f>'淘系'!N2+'抖音'!N2+PDD!N2+'得物'!N2+'京东自营财经口径'!N2+'京东POP财经口径'!N2+'视频号+官网+小程序'!N2+'快手'!N2+'唯品会'!N2+'线下门店-直营'!N2+'线下门店-经销'!N2+'线下渠道'!N2+'淘系达播'!N2+'抖音达播'!N2</f>
      </c>
      <c r="O2" s="118">
        <f>SUM(C2:N2)</f>
      </c>
      <c r="P2" s="118"/>
      <c r="Q2" s="1"/>
      <c r="T2" s="15"/>
      <c r="U2" s="15"/>
    </row>
    <row r="3">
      <c r="A3" s="135"/>
      <c r="B3" s="94" t="str">
        <v>自补前GMV</v>
      </c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>
        <f>SUM(C3:N3)</f>
      </c>
      <c r="P3" s="94"/>
      <c r="Q3" s="146" t="str">
        <v>渠道填写</v>
      </c>
      <c r="R3" s="1"/>
      <c r="S3" s="1"/>
      <c r="T3" s="1"/>
    </row>
    <row customHeight="true" ht="20" r="4">
      <c r="A4" s="135"/>
      <c r="B4" s="94" t="str">
        <v>自补前GSV</v>
      </c>
      <c r="C4" s="98">
        <f>'淘系'!C4+'抖音'!C4+PDD!C4+'得物'!C4+'京东自营业务口径'!C4+'京东POP财经口径'!C4+'视频号+官网+小程序'!C4+'快手'!C4+'唯品会'!C4+'淘系达播'!C4+'抖音达播'!C4</f>
      </c>
      <c r="D4" s="98">
        <f>'淘系'!D4+'抖音'!D4+PDD!D4+'得物'!D4+'京东自营业务口径'!D4+'京东POP财经口径'!D4+'视频号+官网+小程序'!D4+'快手'!D4+'唯品会'!D4+'淘系达播'!D4+'抖音达播'!D4</f>
      </c>
      <c r="E4" s="98">
        <f>'淘系'!E4+'抖音'!E4+PDD!E4+'得物'!E4+'京东自营业务口径'!E4+'京东POP财经口径'!E4+'视频号+官网+小程序'!E4+'快手'!E4+'唯品会'!E4+'淘系达播'!E4+'抖音达播'!E4</f>
      </c>
      <c r="F4" s="98">
        <f>'淘系'!F4+'抖音'!F4+PDD!F4+'得物'!F4+'京东自营业务口径'!F4+'京东POP财经口径'!F4+'视频号+官网+小程序'!F4+'快手'!F4+'唯品会'!F4+'淘系达播'!F4+'抖音达播'!F4</f>
      </c>
      <c r="G4" s="98">
        <f>'淘系'!G4+'抖音'!G4+PDD!G4+'得物'!G4+'京东自营业务口径'!G4+'京东POP财经口径'!G4+'视频号+官网+小程序'!G4+'快手'!G4+'唯品会'!G4+'淘系达播'!G4+'抖音达播'!G4</f>
      </c>
      <c r="H4" s="98">
        <f>'淘系'!H4+'抖音'!H4+PDD!H4+'得物'!H4+'京东自营业务口径'!H4+'京东POP财经口径'!H4+'视频号+官网+小程序'!H4+'快手'!H4+'唯品会'!H4+'淘系达播'!H4+'抖音达播'!H4</f>
      </c>
      <c r="I4" s="98">
        <f>'淘系'!I4+'抖音'!I4+PDD!I4+'得物'!I4+'京东自营业务口径'!I4+'京东POP财经口径'!I4+'视频号+官网+小程序'!I4+'快手'!I4+'唯品会'!I4+'淘系达播'!I4+'抖音达播'!I4</f>
      </c>
      <c r="J4" s="98">
        <f>'淘系'!J4+'抖音'!J4+PDD!J4+'得物'!J4+'京东自营业务口径'!J4+'京东POP财经口径'!J4+'视频号+官网+小程序'!J4+'快手'!J4+'唯品会'!J4+'淘系达播'!J4+'抖音达播'!J4</f>
      </c>
      <c r="K4" s="98">
        <f>'淘系'!K4+'抖音'!K4+PDD!K4+'得物'!K4+'京东自营业务口径'!K4+'京东POP财经口径'!K4+'视频号+官网+小程序'!K4+'快手'!K4+'唯品会'!K4+'淘系达播'!K4+'抖音达播'!K4</f>
      </c>
      <c r="L4" s="98">
        <f>'淘系'!L4+'抖音'!L4+PDD!L4+'得物'!L4+'京东自营业务口径'!L4+'京东POP财经口径'!L4+'视频号+官网+小程序'!L4+'快手'!L4+'唯品会'!L4+'淘系达播'!L4+'抖音达播'!L4</f>
      </c>
      <c r="M4" s="98">
        <f>'淘系'!M4+'抖音'!M4+PDD!M4+'得物'!M4+'京东自营业务口径'!M4+'京东POP财经口径'!M4+'视频号+官网+小程序'!M4+'快手'!M4+'唯品会'!M4+'淘系达播'!M4+'抖音达播'!M4</f>
      </c>
      <c r="N4" s="98">
        <f>'淘系'!N4+'抖音'!N4+PDD!N4+'得物'!N4+'京东自营业务口径'!N4+'京东POP财经口径'!N4+'视频号+官网+小程序'!N4+'快手'!N4+'唯品会'!N4+'淘系达播'!N4+'抖音达播'!N4</f>
      </c>
      <c r="O4" s="98">
        <f>'淘系'!O4+'抖音'!O4+PDD!O4+'得物'!O4+'京东自营业务口径'!O4+'京东POP财经口径'!O4+'视频号+官网+小程序'!O4+'快手'!O4+'唯品会'!O4+'淘系达播'!O4+'抖音达播'!O4</f>
      </c>
      <c r="P4" s="94"/>
      <c r="Q4" s="146" t="str">
        <v>渠道填写</v>
      </c>
      <c r="R4" s="1"/>
      <c r="S4" s="1"/>
      <c r="T4" s="7"/>
      <c r="U4" s="70"/>
      <c r="V4" s="70"/>
    </row>
    <row r="5">
      <c r="A5" s="135"/>
      <c r="B5" s="94" t="str">
        <v>国补自补费用</v>
      </c>
      <c r="C5" s="94">
        <f>'淘系'!C5+'抖音'!C5+PDD!C5+'得物'!C5+'京东自营财经口径'!C5+'京东POP财经口径'!C5+'视频号+官网+小程序'!C5+'快手'!C5+'唯品会'!C5+'线下门店-直营'!C5+'线下门店-经销'!C5+'线下渠道'!C5+'淘系达播'!C5+'抖音达播'!C5</f>
      </c>
      <c r="D5" s="94">
        <f>'淘系'!D5+'抖音'!D5+PDD!D5+'得物'!D5+'京东自营财经口径'!D5+'京东POP财经口径'!D5+'视频号+官网+小程序'!D5+'快手'!D5+'唯品会'!D5+'线下门店-直营'!D5+'线下门店-经销'!D5+'线下渠道'!D5+'淘系达播'!D5+'抖音达播'!D5</f>
      </c>
      <c r="E5" s="94">
        <f>'淘系'!E5+'抖音'!E5+PDD!E5+'得物'!E5+'京东自营财经口径'!E5+'京东POP财经口径'!E5+'视频号+官网+小程序'!E5+'快手'!E5+'唯品会'!E5+'线下门店-直营'!E5+'线下门店-经销'!E5+'线下渠道'!E5+'淘系达播'!E5+'抖音达播'!E5</f>
      </c>
      <c r="F5" s="94">
        <f>'淘系'!F5+'抖音'!F5+PDD!F5+'得物'!F5+'京东自营财经口径'!F5+'京东POP财经口径'!F5+'视频号+官网+小程序'!F5+'快手'!F5+'唯品会'!F5+'线下门店-直营'!F5+'线下门店-经销'!F5+'线下渠道'!F5+'淘系达播'!F5+'抖音达播'!F5</f>
      </c>
      <c r="G5" s="94">
        <f>'淘系'!G5+'抖音'!G5+PDD!G5+'得物'!G5+'京东自营财经口径'!G5+'京东POP财经口径'!G5+'视频号+官网+小程序'!G5+'快手'!G5+'唯品会'!G5+'线下门店-直营'!G5+'线下门店-经销'!G5+'线下渠道'!G5+'淘系达播'!G5+'抖音达播'!G5</f>
      </c>
      <c r="H5" s="94">
        <f>'淘系'!H5+'抖音'!H5+PDD!H5+'得物'!H5+'京东自营财经口径'!H5+'京东POP财经口径'!H5+'视频号+官网+小程序'!H5+'快手'!H5+'唯品会'!H5+'线下门店-直营'!H5+'线下门店-经销'!H5+'线下渠道'!H5+'淘系达播'!H5+'抖音达播'!H5</f>
      </c>
      <c r="I5" s="94">
        <f>'淘系'!I5+'抖音'!I5+PDD!I5+'得物'!I5+'京东自营财经口径'!I5+'京东POP财经口径'!I5+'视频号+官网+小程序'!I5+'快手'!I5+'唯品会'!I5+'线下门店-直营'!I5+'线下门店-经销'!I5+'线下渠道'!I5+'淘系达播'!I5+'抖音达播'!I5</f>
      </c>
      <c r="J5" s="94">
        <f>'淘系'!J5+'抖音'!J5+PDD!J5+'得物'!J5+'京东自营财经口径'!J5+'京东POP财经口径'!J5+'视频号+官网+小程序'!J5+'快手'!J5+'唯品会'!J5+'线下门店-直营'!J5+'线下门店-经销'!J5+'线下渠道'!J5+'淘系达播'!J5+'抖音达播'!J5</f>
      </c>
      <c r="K5" s="94">
        <f>'淘系'!K5+'抖音'!K5+PDD!K5+'得物'!K5+'京东自营财经口径'!K5+'京东POP财经口径'!K5+'视频号+官网+小程序'!K5+'快手'!K5+'唯品会'!K5+'线下门店-直营'!K5+'线下门店-经销'!K5+'线下渠道'!K5+'淘系达播'!K5+'抖音达播'!K5</f>
      </c>
      <c r="L5" s="94">
        <f>'淘系'!L5+'抖音'!L5+PDD!L5+'得物'!L5+'京东自营财经口径'!L5+'京东POP财经口径'!L5+'视频号+官网+小程序'!L5+'快手'!L5+'唯品会'!L5+'线下门店-直营'!L5+'线下门店-经销'!L5+'线下渠道'!L5+'淘系达播'!L5+'抖音达播'!L5</f>
      </c>
      <c r="M5" s="94">
        <f>'淘系'!M5+'抖音'!M5+PDD!M5+'得物'!M5+'京东自营财经口径'!M5+'京东POP财经口径'!M5+'视频号+官网+小程序'!M5+'快手'!M5+'唯品会'!M5+'线下门店-直营'!M5+'线下门店-经销'!M5+'线下渠道'!M5+'淘系达播'!M5+'抖音达播'!M5</f>
      </c>
      <c r="N5" s="94">
        <f>'淘系'!N5+'抖音'!N5+PDD!N5+'得物'!N5+'京东自营财经口径'!N5+'京东POP财经口径'!N5+'视频号+官网+小程序'!N5+'快手'!N5+'唯品会'!N5+'线下门店-直营'!N5+'线下门店-经销'!N5+'线下渠道'!N5+'淘系达播'!N5+'抖音达播'!N5</f>
      </c>
      <c r="O5" s="94">
        <f>SUM(C5:N5)</f>
      </c>
      <c r="P5" s="94"/>
      <c r="Q5" s="146" t="str">
        <v>渠道填写</v>
      </c>
      <c r="R5" s="1"/>
      <c r="S5" s="1"/>
      <c r="T5" s="7"/>
      <c r="U5" s="70"/>
      <c r="V5" s="70"/>
    </row>
    <row r="6">
      <c r="A6" s="135"/>
      <c r="B6" s="98" t="str">
        <v>GMV（国补后）</v>
      </c>
      <c r="C6" s="98">
        <f>'淘系'!C6+'抖音'!C6+PDD!C6+'得物'!C6+'京东自营业务口径'!C6+'京东POP财经口径'!C6+'视频号+官网+小程序'!C6+'快手'!C6+'唯品会'!C6+'淘系达播'!C6+'抖音达播'!C6</f>
      </c>
      <c r="D6" s="98">
        <f>'淘系'!D6+'抖音'!D6+PDD!D6+'得物'!D6+'京东自营业务口径'!D6+'京东POP财经口径'!D6+'视频号+官网+小程序'!D6+'快手'!D6+'唯品会'!D6+'淘系达播'!D6+'抖音达播'!D6</f>
      </c>
      <c r="E6" s="98">
        <f>'淘系'!E6+'抖音'!E6+PDD!E6+'得物'!E6+'京东自营业务口径'!E6+'京东POP财经口径'!E6+'视频号+官网+小程序'!E6+'快手'!E6+'唯品会'!E6+'淘系达播'!E6+'抖音达播'!E6</f>
      </c>
      <c r="F6" s="98">
        <f>'淘系'!F6+'抖音'!F6+PDD!F6+'得物'!F6+'京东自营业务口径'!F6+'京东POP财经口径'!F6+'视频号+官网+小程序'!F6+'快手'!F6+'唯品会'!F6+'淘系达播'!F6+'抖音达播'!F6</f>
      </c>
      <c r="G6" s="98">
        <f>'淘系'!G6+'抖音'!G6+PDD!G6+'得物'!G6+'京东自营业务口径'!G6+'京东POP财经口径'!G6+'视频号+官网+小程序'!G6+'快手'!G6+'唯品会'!G6+'淘系达播'!G6+'抖音达播'!G6</f>
      </c>
      <c r="H6" s="98">
        <f>'淘系'!H6+'抖音'!H6+PDD!H6+'得物'!H6+'京东自营业务口径'!H6+'京东POP财经口径'!H6+'视频号+官网+小程序'!H6+'快手'!H6+'唯品会'!H6+'淘系达播'!H6+'抖音达播'!H6</f>
      </c>
      <c r="I6" s="98">
        <f>'淘系'!I6+'抖音'!I6+PDD!I6+'得物'!I6+'京东自营业务口径'!I6+'京东POP财经口径'!I6+'视频号+官网+小程序'!I6+'快手'!I6+'唯品会'!I6+'淘系达播'!I6+'抖音达播'!I6</f>
      </c>
      <c r="J6" s="98">
        <f>'淘系'!J6+'抖音'!J6+PDD!J6+'得物'!J6+'京东自营业务口径'!J6+'京东POP财经口径'!J6+'视频号+官网+小程序'!J6+'快手'!J6+'唯品会'!J6+'淘系达播'!J6+'抖音达播'!J6</f>
      </c>
      <c r="K6" s="98">
        <f>'淘系'!K6+'抖音'!K6+PDD!K6+'得物'!K6+'京东自营业务口径'!K6+'京东POP财经口径'!K6+'视频号+官网+小程序'!K6+'快手'!K6+'唯品会'!K6+'淘系达播'!K6+'抖音达播'!K6</f>
      </c>
      <c r="L6" s="98">
        <f>'淘系'!L6+'抖音'!L6+PDD!L6+'得物'!L6+'京东自营业务口径'!L6+'京东POP财经口径'!L6+'视频号+官网+小程序'!L6+'快手'!L6+'唯品会'!L6+'淘系达播'!L6+'抖音达播'!L6</f>
      </c>
      <c r="M6" s="98">
        <f>'淘系'!M6+'抖音'!M6+PDD!M6+'得物'!M6+'京东自营业务口径'!M6+'京东POP财经口径'!M6+'视频号+官网+小程序'!M6+'快手'!M6+'唯品会'!M6+'淘系达播'!M6+'抖音达播'!M6</f>
      </c>
      <c r="N6" s="98">
        <f>'淘系'!N6+'抖音'!N6+PDD!N6+'得物'!N6+'京东自营业务口径'!N6+'京东POP财经口径'!N6+'视频号+官网+小程序'!N6+'快手'!N6+'唯品会'!N6+'淘系达播'!N6+'抖音达播'!N6</f>
      </c>
      <c r="O6" s="98">
        <f>'淘系'!O6+'抖音'!O6+PDD!O6+'得物'!O6+'京东自营业务口径'!O6+'京东POP财经口径'!O6+'视频号+官网+小程序'!O6+'快手'!O6+'唯品会'!O6+'淘系达播'!O6+'抖音达播'!O6</f>
      </c>
      <c r="P6" s="98"/>
      <c r="Q6" s="146" t="str">
        <v>渠道填写</v>
      </c>
      <c r="R6" s="1"/>
      <c r="S6" s="1"/>
      <c r="T6" s="7"/>
      <c r="U6" s="70"/>
      <c r="V6" s="70"/>
    </row>
    <row r="7">
      <c r="A7" s="135"/>
      <c r="B7" s="102" t="str">
        <v>退货率（发货前+后）</v>
      </c>
      <c r="C7" s="102">
        <f>1-C8/C6</f>
      </c>
      <c r="D7" s="102">
        <f>1-D8/D6</f>
      </c>
      <c r="E7" s="102">
        <f>1-E8/E6</f>
      </c>
      <c r="F7" s="102">
        <f>1-F8/F6</f>
      </c>
      <c r="G7" s="102">
        <f>1-G8/G6</f>
      </c>
      <c r="H7" s="102">
        <f>1-H8/H6</f>
      </c>
      <c r="I7" s="102">
        <f>1-I8/I6</f>
      </c>
      <c r="J7" s="102">
        <f>1-J8/J6</f>
      </c>
      <c r="K7" s="102">
        <f>1-K8/K6</f>
      </c>
      <c r="L7" s="102">
        <f>1-L8/L6</f>
      </c>
      <c r="M7" s="102">
        <f>1-M8/M6</f>
      </c>
      <c r="N7" s="102">
        <f>1-N8/N6</f>
      </c>
      <c r="O7" s="102">
        <f>1-O8/O6</f>
      </c>
      <c r="P7" s="102"/>
      <c r="Q7" s="1" t="str">
        <v>渠道填写</v>
      </c>
      <c r="R7" s="1"/>
      <c r="S7" s="1"/>
      <c r="T7" s="7"/>
      <c r="U7" s="70"/>
      <c r="V7" s="70"/>
    </row>
    <row r="8">
      <c r="A8" s="135"/>
      <c r="B8" s="98" t="str">
        <v>GSV（国补后）</v>
      </c>
      <c r="C8" s="98">
        <f>'淘系'!C8+'抖音'!C8+PDD!C8+'得物'!C8+'京东自营业务口径'!C8+'京东POP财经口径'!C8+'视频号+官网+小程序'!C8+'快手'!C8+'唯品会'!C8+'淘系达播'!C8+'抖音达播'!C8</f>
      </c>
      <c r="D8" s="98">
        <f>'淘系'!D8+'抖音'!D8+PDD!D8+'得物'!D8+'京东自营业务口径'!D8+'京东POP财经口径'!D8+'视频号+官网+小程序'!D8+'快手'!D8+'唯品会'!D8+'淘系达播'!D8+'抖音达播'!D8</f>
      </c>
      <c r="E8" s="98">
        <f>'淘系'!E8+'抖音'!E8+PDD!E8+'得物'!E8+'京东自营业务口径'!E8+'京东POP财经口径'!E8+'视频号+官网+小程序'!E8+'快手'!E8+'唯品会'!E8+'淘系达播'!E8+'抖音达播'!E8</f>
      </c>
      <c r="F8" s="98">
        <f>'淘系'!F8+'抖音'!F8+PDD!F8+'得物'!F8+'京东自营业务口径'!F8+'京东POP财经口径'!F8+'视频号+官网+小程序'!F8+'快手'!F8+'唯品会'!F8+'淘系达播'!F8+'抖音达播'!F8</f>
      </c>
      <c r="G8" s="98">
        <f>'淘系'!G8+'抖音'!G8+PDD!G8+'得物'!G8+'京东自营业务口径'!G8+'京东POP财经口径'!G8+'视频号+官网+小程序'!G8+'快手'!G8+'唯品会'!G8+'淘系达播'!G8+'抖音达播'!G8</f>
      </c>
      <c r="H8" s="98">
        <f>'淘系'!H8+'抖音'!H8+PDD!H8+'得物'!H8+'京东自营业务口径'!H8+'京东POP财经口径'!H8+'视频号+官网+小程序'!H8+'快手'!H8+'唯品会'!H8+'淘系达播'!H8+'抖音达播'!H8</f>
      </c>
      <c r="I8" s="98">
        <f>'淘系'!I8+'抖音'!I8+PDD!I8+'得物'!I8+'京东自营业务口径'!I8+'京东POP财经口径'!I8+'视频号+官网+小程序'!I8+'快手'!I8+'唯品会'!I8+'淘系达播'!I8+'抖音达播'!I8</f>
      </c>
      <c r="J8" s="98">
        <f>'淘系'!J8+'抖音'!J8+PDD!J8+'得物'!J8+'京东自营业务口径'!J8+'京东POP财经口径'!J8+'视频号+官网+小程序'!J8+'快手'!J8+'唯品会'!J8+'淘系达播'!J8+'抖音达播'!J8</f>
      </c>
      <c r="K8" s="98">
        <f>'淘系'!K8+'抖音'!K8+PDD!K8+'得物'!K8+'京东自营业务口径'!K8+'京东POP财经口径'!K8+'视频号+官网+小程序'!K8+'快手'!K8+'唯品会'!K8+'淘系达播'!K8+'抖音达播'!K8</f>
      </c>
      <c r="L8" s="98">
        <f>'淘系'!L8+'抖音'!L8+PDD!L8+'得物'!L8+'京东自营业务口径'!L8+'京东POP财经口径'!L8+'视频号+官网+小程序'!L8+'快手'!L8+'唯品会'!L8+'淘系达播'!L8+'抖音达播'!L8</f>
      </c>
      <c r="M8" s="98">
        <f>'淘系'!M8+'抖音'!M8+PDD!M8+'得物'!M8+'京东自营业务口径'!M8+'京东POP财经口径'!M8+'视频号+官网+小程序'!M8+'快手'!M8+'唯品会'!M8+'淘系达播'!M8+'抖音达播'!M8</f>
      </c>
      <c r="N8" s="98">
        <f>'淘系'!N8+'抖音'!N8+PDD!N8+'得物'!N8+'京东自营业务口径'!N8+'京东POP财经口径'!N8+'视频号+官网+小程序'!N8+'快手'!N8+'唯品会'!N8+'淘系达播'!N8+'抖音达播'!N8</f>
      </c>
      <c r="O8" s="98">
        <f>'淘系'!O8+'抖音'!O8+PDD!O8+'得物'!O8+'京东自营业务口径'!O8+'京东POP财经口径'!O8+'视频号+官网+小程序'!O8+'快手'!O8+'唯品会'!O8+'淘系达播'!O8+'抖音达播'!O8</f>
      </c>
      <c r="P8" s="98"/>
      <c r="Q8" s="1" t="str">
        <v>渠道填写</v>
      </c>
      <c r="R8" s="1"/>
      <c r="S8" s="1"/>
      <c r="T8" s="7"/>
      <c r="U8" s="70"/>
      <c r="V8" s="70"/>
    </row>
    <row r="9">
      <c r="A9" s="1"/>
      <c r="B9" s="90"/>
      <c r="C9" s="118"/>
      <c r="D9" s="118"/>
      <c r="E9" s="118"/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"/>
      <c r="R9" s="1"/>
      <c r="S9" s="1"/>
      <c r="T9" s="7"/>
      <c r="U9" s="70"/>
      <c r="V9" s="70"/>
    </row>
    <row r="10">
      <c r="A10" s="135"/>
      <c r="B10" s="98" t="str">
        <v>零售价（去除退货后的）</v>
      </c>
      <c r="C10" s="98">
        <f>'淘系'!C10+'抖音'!C10+PDD!C10+'得物'!C10+'京东自营财经口径'!C10+'京东POP财经口径'!C10+'视频号+官网+小程序'!C10+'快手'!C10+'唯品会'!C10+'线下门店-直营'!C10++'线下门店-经销'!C10+'线下渠道'!C10+'淘系达播'!C10+'抖音达播'!C10</f>
      </c>
      <c r="D10" s="98">
        <f>'淘系'!D10+'抖音'!D10+PDD!D10+'得物'!D10+'京东自营财经口径'!D10+'京东POP财经口径'!D10+'视频号+官网+小程序'!D10+'快手'!D10+'唯品会'!D10+'线下门店-直营'!D10++'线下门店-经销'!D10+'线下渠道'!D10+'淘系达播'!D10+'抖音达播'!D10</f>
      </c>
      <c r="E10" s="98">
        <f>'淘系'!E10+'抖音'!E10+PDD!E10+'得物'!E10+'京东自营财经口径'!E10+'京东POP财经口径'!E10+'视频号+官网+小程序'!E10+'快手'!E10+'唯品会'!E10+'线下门店-直营'!E10++'线下门店-经销'!E10+'线下渠道'!E10+'淘系达播'!E10+'抖音达播'!E10</f>
      </c>
      <c r="F10" s="98">
        <f>'淘系'!F10+'抖音'!F10+PDD!F10+'得物'!F10+'京东自营财经口径'!F10+'京东POP财经口径'!F10+'视频号+官网+小程序'!F10+'快手'!F10+'唯品会'!F10+'线下门店-直营'!F10++'线下门店-经销'!F10+'线下渠道'!F10+'淘系达播'!F10+'抖音达播'!F10</f>
      </c>
      <c r="G10" s="98">
        <f>'淘系'!G10+'抖音'!G10+PDD!G10+'得物'!G10+'京东自营财经口径'!G10+'京东POP财经口径'!G10+'视频号+官网+小程序'!G10+'快手'!G10+'唯品会'!G10+'线下门店-直营'!G10++'线下门店-经销'!G10+'线下渠道'!G10+'淘系达播'!G10+'抖音达播'!G10</f>
      </c>
      <c r="H10" s="98">
        <f>'淘系'!H10+'抖音'!H10+PDD!H10+'得物'!H10+'京东自营财经口径'!H10+'京东POP财经口径'!H10+'视频号+官网+小程序'!H10+'快手'!H10+'唯品会'!H10+'线下门店-直营'!H10++'线下门店-经销'!H10+'线下渠道'!H10+'淘系达播'!H10+'抖音达播'!H10</f>
      </c>
      <c r="I10" s="98">
        <f>'淘系'!I10+'抖音'!I10+PDD!I10+'得物'!I10+'京东自营财经口径'!I10+'京东POP财经口径'!I10+'视频号+官网+小程序'!I10+'快手'!I10+'唯品会'!I10+'线下门店-直营'!I10++'线下门店-经销'!I10+'线下渠道'!I10+'淘系达播'!I10+'抖音达播'!I10</f>
      </c>
      <c r="J10" s="98">
        <f>'淘系'!J10+'抖音'!J10+PDD!J10+'得物'!J10+'京东自营财经口径'!J10+'京东POP财经口径'!J10+'视频号+官网+小程序'!J10+'快手'!J10+'唯品会'!J10+'线下门店-直营'!J10++'线下门店-经销'!J10+'线下渠道'!J10+'淘系达播'!J10+'抖音达播'!J10</f>
      </c>
      <c r="K10" s="98">
        <f>'淘系'!K10+'抖音'!K10+PDD!K10+'得物'!K10+'京东自营财经口径'!K10+'京东POP财经口径'!K10+'视频号+官网+小程序'!K10+'快手'!K10+'唯品会'!K10+'线下门店-直营'!K10++'线下门店-经销'!K10+'线下渠道'!K10+'淘系达播'!K10+'抖音达播'!K10</f>
      </c>
      <c r="L10" s="98">
        <f>'淘系'!L10+'抖音'!L10+PDD!L10+'得物'!L10+'京东自营财经口径'!L10+'京东POP财经口径'!L10+'视频号+官网+小程序'!L10+'快手'!L10+'唯品会'!L10+'线下门店-直营'!L10++'线下门店-经销'!L10+'线下渠道'!L10+'淘系达播'!L10+'抖音达播'!L10</f>
      </c>
      <c r="M10" s="98">
        <f>'淘系'!M10+'抖音'!M10+PDD!M10+'得物'!M10+'京东自营财经口径'!M10+'京东POP财经口径'!M10+'视频号+官网+小程序'!M10+'快手'!M10+'唯品会'!M10+'线下门店-直营'!M10++'线下门店-经销'!M10+'线下渠道'!M10+'淘系达播'!M10+'抖音达播'!M10</f>
      </c>
      <c r="N10" s="98">
        <f>'淘系'!N10+'抖音'!N10+PDD!N10+'得物'!N10+'京东自营财经口径'!N10+'京东POP财经口径'!N10+'视频号+官网+小程序'!N10+'快手'!N10+'唯品会'!N10+'线下门店-直营'!N10++'线下门店-经销'!N10+'线下渠道'!N10+'淘系达播'!N10+'抖音达播'!N10</f>
      </c>
      <c r="O10" s="98">
        <f>SUM(C10:N10)</f>
      </c>
      <c r="P10" s="98"/>
      <c r="Q10" s="126" t="str">
        <v>渠道第二次填写</v>
      </c>
      <c r="R10" s="1"/>
      <c r="S10" s="1"/>
      <c r="T10" s="7"/>
      <c r="U10" s="70"/>
      <c r="V10" s="70"/>
    </row>
    <row r="11">
      <c r="A11" s="1"/>
      <c r="B11" s="85" t="str">
        <v>合同折扣及返利 (线下）</v>
      </c>
      <c r="C11" s="125">
        <f>'淘系'!C11+'抖音'!C11+PDD!C11+'得物'!C11+'京东自营财经口径'!C11+'京东POP财经口径'!C11+'视频号+官网+小程序'!C11+'快手'!C11+'唯品会'!C11+'线下门店-直营'!C11+'线下门店-经销'!C11+'线下渠道'!C11+'淘系达播'!C11+'抖音达播'!C11</f>
      </c>
      <c r="D11" s="125">
        <f>'淘系'!D11+'抖音'!D11+PDD!D11+'得物'!D11+'京东自营财经口径'!D11+'京东POP财经口径'!D11+'视频号+官网+小程序'!D11+'快手'!D11+'唯品会'!D11+'线下门店-直营'!D11+'线下门店-经销'!D11+'线下渠道'!D11+'淘系达播'!D11+'抖音达播'!D11</f>
      </c>
      <c r="E11" s="125">
        <f>'淘系'!E11+'抖音'!E11+PDD!E11+'得物'!E11+'京东自营财经口径'!E11+'京东POP财经口径'!E11+'视频号+官网+小程序'!E11+'快手'!E11+'唯品会'!E11+'线下门店-直营'!E11+'线下门店-经销'!E11+'线下渠道'!E11+'淘系达播'!E11+'抖音达播'!E11</f>
      </c>
      <c r="F11" s="125">
        <f>'淘系'!F11+'抖音'!F11+PDD!F11+'得物'!F11+'京东自营财经口径'!F11+'京东POP财经口径'!F11+'视频号+官网+小程序'!F11+'快手'!F11+'唯品会'!F11+'线下门店-直营'!F11+'线下门店-经销'!F11+'线下渠道'!F11+'淘系达播'!F11+'抖音达播'!F11</f>
      </c>
      <c r="G11" s="125">
        <f>'淘系'!G11+'抖音'!G11+PDD!G11+'得物'!G11+'京东自营财经口径'!G11+'京东POP财经口径'!G11+'视频号+官网+小程序'!G11+'快手'!G11+'唯品会'!G11+'线下门店-直营'!G11+'线下门店-经销'!G11+'线下渠道'!G11+'淘系达播'!G11+'抖音达播'!G11</f>
      </c>
      <c r="H11" s="125">
        <f>'淘系'!H11+'抖音'!H11+PDD!H11+'得物'!H11+'京东自营财经口径'!H11+'京东POP财经口径'!H11+'视频号+官网+小程序'!H11+'快手'!H11+'唯品会'!H11+'线下门店-直营'!H11+'线下门店-经销'!H11+'线下渠道'!H11+'淘系达播'!H11+'抖音达播'!H11</f>
      </c>
      <c r="I11" s="125">
        <f>'淘系'!I11+'抖音'!I11+PDD!I11+'得物'!I11+'京东自营财经口径'!I11+'京东POP财经口径'!I11+'视频号+官网+小程序'!I11+'快手'!I11+'唯品会'!I11+'线下门店-直营'!I11+'线下门店-经销'!I11+'线下渠道'!I11+'淘系达播'!I11+'抖音达播'!I11</f>
      </c>
      <c r="J11" s="125">
        <f>'淘系'!J11+'抖音'!J11+PDD!J11+'得物'!J11+'京东自营财经口径'!J11+'京东POP财经口径'!J11+'视频号+官网+小程序'!J11+'快手'!J11+'唯品会'!J11+'线下门店-直营'!J11+'线下门店-经销'!J11+'线下渠道'!J11+'淘系达播'!J11+'抖音达播'!J11</f>
      </c>
      <c r="K11" s="125">
        <f>'淘系'!K11+'抖音'!K11+PDD!K11+'得物'!K11+'京东自营财经口径'!K11+'京东POP财经口径'!K11+'视频号+官网+小程序'!K11+'快手'!K11+'唯品会'!K11+'线下门店-直营'!K11+'线下门店-经销'!K11+'线下渠道'!K11+'淘系达播'!K11+'抖音达播'!K11</f>
      </c>
      <c r="L11" s="125">
        <f>'淘系'!L11+'抖音'!L11+PDD!L11+'得物'!L11+'京东自营财经口径'!L11+'京东POP财经口径'!L11+'视频号+官网+小程序'!L11+'快手'!L11+'唯品会'!L11+'线下门店-直营'!L11+'线下门店-经销'!L11+'线下渠道'!L11+'淘系达播'!L11+'抖音达播'!L11</f>
      </c>
      <c r="M11" s="125">
        <f>'淘系'!M11+'抖音'!M11+PDD!M11+'得物'!M11+'京东自营财经口径'!M11+'京东POP财经口径'!M11+'视频号+官网+小程序'!M11+'快手'!M11+'唯品会'!M11+'线下门店-直营'!M11+'线下门店-经销'!M11+'线下渠道'!M11+'淘系达播'!M11+'抖音达播'!M11</f>
      </c>
      <c r="N11" s="125">
        <f>'淘系'!N11+'抖音'!N11+PDD!N11+'得物'!N11+'京东自营财经口径'!N11+'京东POP财经口径'!N11+'视频号+官网+小程序'!N11+'快手'!N11+'唯品会'!N11+'线下门店-直营'!N11+'线下门店-经销'!N11+'线下渠道'!N11+'淘系达播'!N11+'抖音达播'!N11</f>
      </c>
      <c r="O11" s="127">
        <f>SUM(C11:N11)</f>
      </c>
      <c r="P11" s="128">
        <f>O11/O8</f>
      </c>
      <c r="Q11" s="1" t="str">
        <v>线下渠道填写</v>
      </c>
      <c r="R11" s="54">
        <f>O11/$O$10</f>
      </c>
      <c r="S11" s="1"/>
      <c r="T11" s="7"/>
      <c r="U11" s="70"/>
      <c r="V11" s="70"/>
    </row>
    <row r="12">
      <c r="A12" s="1"/>
      <c r="B12" s="85" t="str">
        <v>国补自补 （线上）</v>
      </c>
      <c r="C12" s="125">
        <f>'淘系'!C12+'抖音'!C12+PDD!C12+'得物'!C12+'京东自营财经口径'!C12+'京东POP财经口径'!C12+'视频号+官网+小程序'!C12+'快手'!C12+'唯品会'!C12+'线下门店-直营'!C12+'线下门店-经销'!C12+'线下渠道'!C12+'淘系达播'!C12+'抖音达播'!C12</f>
      </c>
      <c r="D12" s="125">
        <f>'淘系'!D12+'抖音'!D12+PDD!D12+'得物'!D12+'京东自营财经口径'!D12+'京东POP财经口径'!D12+'视频号+官网+小程序'!D12+'快手'!D12+'唯品会'!D12+'线下门店-直营'!D12+'线下门店-经销'!D12+'线下渠道'!D12+'淘系达播'!D12+'抖音达播'!D12</f>
      </c>
      <c r="E12" s="125">
        <f>'淘系'!E12+'抖音'!E12+PDD!E12+'得物'!E12+'京东自营财经口径'!E12+'京东POP财经口径'!E12+'视频号+官网+小程序'!E12+'快手'!E12+'唯品会'!E12+'线下门店-直营'!E12+'线下门店-经销'!E12+'线下渠道'!E12+'淘系达播'!E12+'抖音达播'!E12</f>
      </c>
      <c r="F12" s="125">
        <f>'淘系'!F12+'抖音'!F12+PDD!F12+'得物'!F12+'京东自营财经口径'!F12+'京东POP财经口径'!F12+'视频号+官网+小程序'!F12+'快手'!F12+'唯品会'!F12+'线下门店-直营'!F12+'线下门店-经销'!F12+'线下渠道'!F12+'淘系达播'!F12+'抖音达播'!F12</f>
      </c>
      <c r="G12" s="125">
        <f>'淘系'!G12+'抖音'!G12+PDD!G12+'得物'!G12+'京东自营财经口径'!G12+'京东POP财经口径'!G12+'视频号+官网+小程序'!G12+'快手'!G12+'唯品会'!G12+'线下门店-直营'!G12+'线下门店-经销'!G12+'线下渠道'!G12+'淘系达播'!G12+'抖音达播'!G12</f>
      </c>
      <c r="H12" s="125">
        <f>'淘系'!H12+'抖音'!H12+PDD!H12+'得物'!H12+'京东自营财经口径'!H12+'京东POP财经口径'!H12+'视频号+官网+小程序'!H12+'快手'!H12+'唯品会'!H12+'线下门店-直营'!H12+'线下门店-经销'!H12+'线下渠道'!H12+'淘系达播'!H12+'抖音达播'!H12</f>
      </c>
      <c r="I12" s="125">
        <f>'淘系'!I12+'抖音'!I12+PDD!I12+'得物'!I12+'京东自营财经口径'!I12+'京东POP财经口径'!I12+'视频号+官网+小程序'!I12+'快手'!I12+'唯品会'!I12+'线下门店-直营'!I12+'线下门店-经销'!I12+'线下渠道'!I12+'淘系达播'!I12+'抖音达播'!I12</f>
      </c>
      <c r="J12" s="125">
        <f>'淘系'!J12+'抖音'!J12+PDD!J12+'得物'!J12+'京东自营财经口径'!J12+'京东POP财经口径'!J12+'视频号+官网+小程序'!J12+'快手'!J12+'唯品会'!J12+'线下门店-直营'!J12+'线下门店-经销'!J12+'线下渠道'!J12+'淘系达播'!J12+'抖音达播'!J12</f>
      </c>
      <c r="K12" s="125">
        <f>'淘系'!K12+'抖音'!K12+PDD!K12+'得物'!K12+'京东自营财经口径'!K12+'京东POP财经口径'!K12+'视频号+官网+小程序'!K12+'快手'!K12+'唯品会'!K12+'线下门店-直营'!K12+'线下门店-经销'!K12+'线下渠道'!K12+'淘系达播'!K12+'抖音达播'!K12</f>
      </c>
      <c r="L12" s="125">
        <f>'淘系'!L12+'抖音'!L12+PDD!L12+'得物'!L12+'京东自营财经口径'!L12+'京东POP财经口径'!L12+'视频号+官网+小程序'!L12+'快手'!L12+'唯品会'!L12+'线下门店-直营'!L12+'线下门店-经销'!L12+'线下渠道'!L12+'淘系达播'!L12+'抖音达播'!L12</f>
      </c>
      <c r="M12" s="125">
        <f>'淘系'!M12+'抖音'!M12+PDD!M12+'得物'!M12+'京东自营财经口径'!M12+'京东POP财经口径'!M12+'视频号+官网+小程序'!M12+'快手'!M12+'唯品会'!M12+'线下门店-直营'!M12+'线下门店-经销'!M12+'线下渠道'!M12+'淘系达播'!M12+'抖音达播'!M12</f>
      </c>
      <c r="N12" s="125">
        <f>'淘系'!N12+'抖音'!N12+PDD!N12+'得物'!N12+'京东自营财经口径'!N12+'京东POP财经口径'!N12+'视频号+官网+小程序'!N12+'快手'!N12+'唯品会'!N12+'线下门店-直营'!N12+'线下门店-经销'!N12+'线下渠道'!N12+'淘系达播'!N12+'抖音达播'!N12</f>
      </c>
      <c r="O12" s="127">
        <f>SUM(C12:N12)</f>
      </c>
      <c r="P12" s="128">
        <f>O12/O8</f>
      </c>
      <c r="Q12" s="1" t="str">
        <v>渠道填写</v>
      </c>
      <c r="R12" s="54">
        <f>O12/$O$10</f>
      </c>
      <c r="S12" s="1"/>
      <c r="T12" s="7"/>
      <c r="U12" s="70"/>
      <c r="V12" s="70"/>
    </row>
    <row r="13">
      <c r="A13" s="1"/>
      <c r="B13" s="85" t="str">
        <v>红包消费券等促销折扣</v>
      </c>
      <c r="C13" s="125">
        <f>'淘系'!C13+'抖音'!C13+PDD!C13+'得物'!C13+'京东自营财经口径'!C13+'京东POP财经口径'!C13+'视频号+官网+小程序'!C13+'快手'!C13+'唯品会'!C13+'线下门店-直营'!C13+'线下门店-经销'!C13+'线下渠道'!C13+'淘系达播'!C13+'抖音达播'!C13</f>
      </c>
      <c r="D13" s="125">
        <f>'淘系'!D13+'抖音'!D13+PDD!D13+'得物'!D13+'京东自营财经口径'!D13+'京东POP财经口径'!D13+'视频号+官网+小程序'!D13+'快手'!D13+'唯品会'!D13+'线下门店-直营'!D13+'线下门店-经销'!D13+'线下渠道'!D13+'淘系达播'!D13+'抖音达播'!D13</f>
      </c>
      <c r="E13" s="125">
        <f>'淘系'!E13+'抖音'!E13+PDD!E13+'得物'!E13+'京东自营财经口径'!E13+'京东POP财经口径'!E13+'视频号+官网+小程序'!E13+'快手'!E13+'唯品会'!E13+'线下门店-直营'!E13+'线下门店-经销'!E13+'线下渠道'!E13+'淘系达播'!E13+'抖音达播'!E13</f>
      </c>
      <c r="F13" s="125">
        <f>'淘系'!F13+'抖音'!F13+PDD!F13+'得物'!F13+'京东自营财经口径'!F13+'京东POP财经口径'!F13+'视频号+官网+小程序'!F13+'快手'!F13+'唯品会'!F13+'线下门店-直营'!F13+'线下门店-经销'!F13+'线下渠道'!F13+'淘系达播'!F13+'抖音达播'!F13</f>
      </c>
      <c r="G13" s="125">
        <f>'淘系'!G13+'抖音'!G13+PDD!G13+'得物'!G13+'京东自营财经口径'!G13+'京东POP财经口径'!G13+'视频号+官网+小程序'!G13+'快手'!G13+'唯品会'!G13+'线下门店-直营'!G13+'线下门店-经销'!G13+'线下渠道'!G13+'淘系达播'!G13+'抖音达播'!G13</f>
      </c>
      <c r="H13" s="125">
        <f>'淘系'!H13+'抖音'!H13+PDD!H13+'得物'!H13+'京东自营财经口径'!H13+'京东POP财经口径'!H13+'视频号+官网+小程序'!H13+'快手'!H13+'唯品会'!H13+'线下门店-直营'!H13+'线下门店-经销'!H13+'线下渠道'!H13+'淘系达播'!H13+'抖音达播'!H13</f>
      </c>
      <c r="I13" s="125">
        <f>'淘系'!I13+'抖音'!I13+PDD!I13+'得物'!I13+'京东自营财经口径'!I13+'京东POP财经口径'!I13+'视频号+官网+小程序'!I13+'快手'!I13+'唯品会'!I13+'线下门店-直营'!I13+'线下门店-经销'!I13+'线下渠道'!I13+'淘系达播'!I13+'抖音达播'!I13</f>
      </c>
      <c r="J13" s="125">
        <f>'淘系'!J13+'抖音'!J13+PDD!J13+'得物'!J13+'京东自营财经口径'!J13+'京东POP财经口径'!J13+'视频号+官网+小程序'!J13+'快手'!J13+'唯品会'!J13+'线下门店-直营'!J13+'线下门店-经销'!J13+'线下渠道'!J13+'淘系达播'!J13+'抖音达播'!J13</f>
      </c>
      <c r="K13" s="125">
        <f>'淘系'!K13+'抖音'!K13+PDD!K13+'得物'!K13+'京东自营财经口径'!K13+'京东POP财经口径'!K13+'视频号+官网+小程序'!K13+'快手'!K13+'唯品会'!K13+'线下门店-直营'!K13+'线下门店-经销'!K13+'线下渠道'!K13+'淘系达播'!K13+'抖音达播'!K13</f>
      </c>
      <c r="L13" s="125">
        <f>'淘系'!L13+'抖音'!L13+PDD!L13+'得物'!L13+'京东自营财经口径'!L13+'京东POP财经口径'!L13+'视频号+官网+小程序'!L13+'快手'!L13+'唯品会'!L13+'线下门店-直营'!L13+'线下门店-经销'!L13+'线下渠道'!L13+'淘系达播'!L13+'抖音达播'!L13</f>
      </c>
      <c r="M13" s="125">
        <f>'淘系'!M13+'抖音'!M13+PDD!M13+'得物'!M13+'京东自营财经口径'!M13+'京东POP财经口径'!M13+'视频号+官网+小程序'!M13+'快手'!M13+'唯品会'!M13+'线下门店-直营'!M13+'线下门店-经销'!M13+'线下渠道'!M13+'淘系达播'!M13+'抖音达播'!M13</f>
      </c>
      <c r="N13" s="125">
        <f>'淘系'!N13+'抖音'!N13+PDD!N13+'得物'!N13+'京东自营财经口径'!N13+'京东POP财经口径'!N13+'视频号+官网+小程序'!N13+'快手'!N13+'唯品会'!N13+'线下门店-直营'!N13+'线下门店-经销'!N13+'线下渠道'!N13+'淘系达播'!N13+'抖音达播'!N13</f>
      </c>
      <c r="O13" s="127">
        <f>SUM(C13:N13)</f>
      </c>
      <c r="P13" s="128">
        <f>O13/O8</f>
      </c>
      <c r="Q13" s="126" t="str">
        <v>渠道填写</v>
      </c>
      <c r="R13" s="54">
        <f>O13/$O$10</f>
      </c>
      <c r="S13" s="1"/>
      <c r="T13" s="7"/>
      <c r="U13" s="70"/>
      <c r="V13" s="70"/>
    </row>
    <row r="14">
      <c r="A14" s="1"/>
      <c r="B14" s="83" t="str">
        <v>TTL 折扣合计</v>
      </c>
      <c r="C14" s="115">
        <f>SUM(C11:C13)</f>
      </c>
      <c r="D14" s="115">
        <f>SUM(D11:D13)</f>
      </c>
      <c r="E14" s="115">
        <f>SUM(E11:E13)</f>
      </c>
      <c r="F14" s="115">
        <f>SUM(F11:F13)</f>
      </c>
      <c r="G14" s="115">
        <f>SUM(G11:G13)</f>
      </c>
      <c r="H14" s="115">
        <f>SUM(H11:H13)</f>
      </c>
      <c r="I14" s="115">
        <f>SUM(I11:I13)</f>
      </c>
      <c r="J14" s="115">
        <f>SUM(J11:J13)</f>
      </c>
      <c r="K14" s="115">
        <f>SUM(K11:K13)</f>
      </c>
      <c r="L14" s="115">
        <f>SUM(L11:L13)</f>
      </c>
      <c r="M14" s="115">
        <f>SUM(M11:M13)</f>
      </c>
      <c r="N14" s="115">
        <f>SUM(N11:N13)</f>
      </c>
      <c r="O14" s="115">
        <f>SUM(C14:N14)</f>
      </c>
      <c r="P14" s="116">
        <f>O14/O8</f>
      </c>
      <c r="Q14" s="1"/>
      <c r="R14" s="54">
        <f>O14/$O$10</f>
      </c>
      <c r="S14" s="1"/>
      <c r="T14" s="7"/>
      <c r="U14" s="70"/>
      <c r="V14" s="70"/>
    </row>
    <row r="15">
      <c r="A15" s="135"/>
      <c r="B15" s="98" t="str">
        <v>GSV</v>
      </c>
      <c r="C15" s="98">
        <f>C8</f>
      </c>
      <c r="D15" s="98">
        <f>D8</f>
      </c>
      <c r="E15" s="98">
        <f>E8</f>
      </c>
      <c r="F15" s="98">
        <f>F8</f>
      </c>
      <c r="G15" s="98">
        <f>G8</f>
      </c>
      <c r="H15" s="98">
        <f>H8</f>
      </c>
      <c r="I15" s="98">
        <f>I8</f>
      </c>
      <c r="J15" s="98">
        <f>J8</f>
      </c>
      <c r="K15" s="98">
        <f>K8</f>
      </c>
      <c r="L15" s="98">
        <f>L8</f>
      </c>
      <c r="M15" s="98">
        <f>M8</f>
      </c>
      <c r="N15" s="98">
        <f>N8</f>
      </c>
      <c r="O15" s="98">
        <f>SUM(C15:N15)</f>
      </c>
      <c r="P15" s="98"/>
      <c r="Q15" s="1"/>
      <c r="R15" s="1"/>
      <c r="S15" s="1"/>
      <c r="T15" s="7"/>
      <c r="U15" s="70"/>
      <c r="V15" s="70"/>
    </row>
    <row r="16">
      <c r="A16" s="135"/>
      <c r="B16" s="98" t="str">
        <v>营业收入</v>
      </c>
      <c r="C16" s="98">
        <f>+C8/1.13</f>
      </c>
      <c r="D16" s="98">
        <f>+D8/1.13</f>
      </c>
      <c r="E16" s="98">
        <f>+E8/1.13</f>
      </c>
      <c r="F16" s="98">
        <f>+F8/1.13</f>
      </c>
      <c r="G16" s="98">
        <f>+G8/1.13</f>
      </c>
      <c r="H16" s="98">
        <f>+H8/1.13</f>
      </c>
      <c r="I16" s="98">
        <f>+I8/1.13</f>
      </c>
      <c r="J16" s="98">
        <f>+J8/1.13</f>
      </c>
      <c r="K16" s="98">
        <f>+K8/1.13</f>
      </c>
      <c r="L16" s="98">
        <f>+L8/1.13</f>
      </c>
      <c r="M16" s="98">
        <f>+M8/1.13</f>
      </c>
      <c r="N16" s="98">
        <f>+N8/1.13</f>
      </c>
      <c r="O16" s="98">
        <f>SUM(C16:N16)</f>
      </c>
      <c r="P16" s="98"/>
      <c r="Q16" s="1"/>
      <c r="R16" s="1"/>
      <c r="S16" s="1"/>
      <c r="T16" s="119">
        <f>O16-'淘系'!O16-'淘系达播'!O16-'抖音'!O16-'抖音达播'!O16-'快手'!O16-'京东POP财经口径'!O16-'京东自营财经口径'!O16-PDD!O16-'得物'!O16-'视频号+官网+小程序'!O16-'唯品会'!O16-'线下门店-直营'!O16-'线下门店-经销'!O16-'线下渠道'!O16</f>
      </c>
      <c r="U16" s="70"/>
      <c r="V16" s="70"/>
    </row>
    <row r="17">
      <c r="A17" s="1"/>
      <c r="B17" s="1"/>
      <c r="C17" s="44">
        <f>C14/C15</f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19">
        <f>O17-'淘系'!O17-'淘系达播'!O17-'抖音'!O17-'抖音达播'!O17-'快手'!O17-'京东POP财经口径'!O17-'京东自营财经口径'!O17-PDD!O17-'得物'!O17-'视频号+官网+小程序'!O17-'唯品会'!O17-'线下门店-直营'!O17-'线下门店-经销'!O17-'线下渠道'!O17</f>
      </c>
      <c r="U17" s="70"/>
      <c r="V17" s="70"/>
    </row>
    <row r="18">
      <c r="A18" s="1"/>
      <c r="B18" s="85" t="str">
        <v>标准主品配件成本</v>
      </c>
      <c r="C18" s="127">
        <f>'淘系'!C18+'抖音'!C18+PDD!C18+'得物'!C18+'京东自营财经口径'!C18+'京东POP财经口径'!C18+'视频号+官网+小程序'!C18+'快手'!C18+'唯品会'!C18+'线下门店-直营'!C18+'线下门店-经销'!C18+'线下渠道'!C18+'淘系达播'!C18+'抖音达播'!C18</f>
      </c>
      <c r="D18" s="127">
        <f>'淘系'!D18+'抖音'!D18+PDD!D18+'得物'!D18+'京东自营财经口径'!D18+'京东POP财经口径'!D18+'视频号+官网+小程序'!D18+'快手'!D18+'唯品会'!D18+'线下门店-直营'!D18+'线下门店-经销'!D18+'线下渠道'!D18+'淘系达播'!D18+'抖音达播'!D18</f>
      </c>
      <c r="E18" s="127">
        <f>'淘系'!E18+'抖音'!E18+PDD!E18+'得物'!E18+'京东自营财经口径'!E18+'京东POP财经口径'!E18+'视频号+官网+小程序'!E18+'快手'!E18+'唯品会'!E18+'线下门店-直营'!E18+'线下门店-经销'!E18+'线下渠道'!E18+'淘系达播'!E18+'抖音达播'!E18</f>
      </c>
      <c r="F18" s="127">
        <f>'淘系'!F18+'抖音'!F18+PDD!F18+'得物'!F18+'京东自营财经口径'!F18+'京东POP财经口径'!F18+'视频号+官网+小程序'!F18+'快手'!F18+'唯品会'!F18+'线下门店-直营'!F18+'线下门店-经销'!F18+'线下渠道'!F18+'淘系达播'!F18+'抖音达播'!F18</f>
      </c>
      <c r="G18" s="127">
        <f>'淘系'!G18+'抖音'!G18+PDD!G18+'得物'!G18+'京东自营财经口径'!G18+'京东POP财经口径'!G18+'视频号+官网+小程序'!G18+'快手'!G18+'唯品会'!G18+'线下门店-直营'!G18+'线下门店-经销'!G18+'线下渠道'!G18+'淘系达播'!G18+'抖音达播'!G18</f>
      </c>
      <c r="H18" s="127">
        <f>'淘系'!H18+'抖音'!H18+PDD!H18+'得物'!H18+'京东自营财经口径'!H18+'京东POP财经口径'!H18+'视频号+官网+小程序'!H18+'快手'!H18+'唯品会'!H18+'线下门店-直营'!H18+'线下门店-经销'!H18+'线下渠道'!H18+'淘系达播'!H18+'抖音达播'!H18</f>
      </c>
      <c r="I18" s="127">
        <f>'淘系'!I18+'抖音'!I18+PDD!I18+'得物'!I18+'京东自营财经口径'!I18+'京东POP财经口径'!I18+'视频号+官网+小程序'!I18+'快手'!I18+'唯品会'!I18+'线下门店-直营'!I18+'线下门店-经销'!I18+'线下渠道'!I18+'淘系达播'!I18+'抖音达播'!I18</f>
      </c>
      <c r="J18" s="127">
        <f>'淘系'!J18+'抖音'!J18+PDD!J18+'得物'!J18+'京东自营财经口径'!J18+'京东POP财经口径'!J18+'视频号+官网+小程序'!J18+'快手'!J18+'唯品会'!J18+'线下门店-直营'!J18+'线下门店-经销'!J18+'线下渠道'!J18+'淘系达播'!J18+'抖音达播'!J18</f>
      </c>
      <c r="K18" s="127">
        <f>'淘系'!K18+'抖音'!K18+PDD!K18+'得物'!K18+'京东自营财经口径'!K18+'京东POP财经口径'!K18+'视频号+官网+小程序'!K18+'快手'!K18+'唯品会'!K18+'线下门店-直营'!K18+'线下门店-经销'!K18+'线下渠道'!K18+'淘系达播'!K18+'抖音达播'!K18</f>
      </c>
      <c r="L18" s="127">
        <f>'淘系'!L18+'抖音'!L18+PDD!L18+'得物'!L18+'京东自营财经口径'!L18+'京东POP财经口径'!L18+'视频号+官网+小程序'!L18+'快手'!L18+'唯品会'!L18+'线下门店-直营'!L18+'线下门店-经销'!L18+'线下渠道'!L18+'淘系达播'!L18+'抖音达播'!L18</f>
      </c>
      <c r="M18" s="127">
        <f>'淘系'!M18+'抖音'!M18+PDD!M18+'得物'!M18+'京东自营财经口径'!M18+'京东POP财经口径'!M18+'视频号+官网+小程序'!M18+'快手'!M18+'唯品会'!M18+'线下门店-直营'!M18+'线下门店-经销'!M18+'线下渠道'!M18+'淘系达播'!M18+'抖音达播'!M18</f>
      </c>
      <c r="N18" s="127">
        <f>'淘系'!N18+'抖音'!N18+PDD!N18+'得物'!N18+'京东自营财经口径'!N18+'京东POP财经口径'!N18+'视频号+官网+小程序'!N18+'快手'!N18+'唯品会'!N18+'线下门店-直营'!N18+'线下门店-经销'!N18+'线下渠道'!N18+'淘系达播'!N18+'抖音达播'!N18</f>
      </c>
      <c r="O18" s="127">
        <f>SUM(C18:N18)</f>
      </c>
      <c r="P18" s="128">
        <f>O18/O16</f>
      </c>
      <c r="Q18" s="1"/>
      <c r="R18" s="1" t="str" xml:space="preserve">
        <v> Y25 Bi 成本54%</v>
      </c>
      <c r="S18" s="1"/>
      <c r="T18" s="119">
        <f>O18-'淘系'!O18-'淘系达播'!O18-'抖音'!O18-'抖音达播'!O18-'快手'!O18-'京东POP财经口径'!O18-'京东自营财经口径'!O18-PDD!O18-'得物'!O18-'视频号+官网+小程序'!O18-'唯品会'!O18-'线下门店-直营'!O18-'线下门店-经销'!O18-'线下渠道'!O18</f>
      </c>
      <c r="U18" s="70"/>
      <c r="V18" s="70"/>
    </row>
    <row r="19">
      <c r="A19" s="1"/>
      <c r="B19" s="83" t="str">
        <v>产品毛利</v>
      </c>
      <c r="C19" s="115">
        <f>C16-C18</f>
      </c>
      <c r="D19" s="115">
        <f>D16-D18</f>
      </c>
      <c r="E19" s="115">
        <f>E16-E18</f>
      </c>
      <c r="F19" s="115">
        <f>F16-F18</f>
      </c>
      <c r="G19" s="115">
        <f>G16-G18</f>
      </c>
      <c r="H19" s="115">
        <f>H16-H18</f>
      </c>
      <c r="I19" s="115">
        <f>I16-I18</f>
      </c>
      <c r="J19" s="115">
        <f>J16-J18</f>
      </c>
      <c r="K19" s="115">
        <f>K16-K18</f>
      </c>
      <c r="L19" s="115">
        <f>L16-L18</f>
      </c>
      <c r="M19" s="115">
        <f>M16-M18</f>
      </c>
      <c r="N19" s="115">
        <f>N16-N18</f>
      </c>
      <c r="O19" s="115">
        <f>SUM(C19:N19)</f>
      </c>
      <c r="P19" s="116">
        <f>O19/$O$16</f>
      </c>
      <c r="Q19" s="1"/>
      <c r="R19" s="158">
        <f>O16*0.12</f>
      </c>
      <c r="S19" s="1"/>
      <c r="T19" s="119">
        <f>O19-'淘系'!O19-'淘系达播'!O19-'抖音'!O19-'抖音达播'!O19-'快手'!O19-'京东POP财经口径'!O19-'京东自营财经口径'!O19-PDD!O19-'得物'!O19-'视频号+官网+小程序'!O19-'唯品会'!O19-'线下门店-直营'!O19-'线下门店-经销'!O19-'线下渠道'!O19</f>
      </c>
      <c r="U19" s="70"/>
      <c r="V19" s="70"/>
    </row>
    <row r="20">
      <c r="A20" s="118"/>
      <c r="B20" s="90" t="str">
        <v>头程/尾程物流/仓储费用</v>
      </c>
      <c r="C20" s="118">
        <f>C16*2.5%</f>
      </c>
      <c r="D20" s="118">
        <f>D16*2.5%</f>
      </c>
      <c r="E20" s="118">
        <f>E16*2.5%</f>
      </c>
      <c r="F20" s="118">
        <f>F16*2.5%</f>
      </c>
      <c r="G20" s="118">
        <f>G16*2.5%</f>
      </c>
      <c r="H20" s="118">
        <f>H16*2.5%</f>
      </c>
      <c r="I20" s="118">
        <f>I16*2.5%</f>
      </c>
      <c r="J20" s="118">
        <f>J16*2.5%</f>
      </c>
      <c r="K20" s="118">
        <f>K16*2.5%</f>
      </c>
      <c r="L20" s="118">
        <f>L16*2.5%</f>
      </c>
      <c r="M20" s="118">
        <f>M16*2.5%</f>
      </c>
      <c r="N20" s="118">
        <f>N16*2.5%</f>
      </c>
      <c r="O20" s="118">
        <f>SUM(C20:N20)</f>
      </c>
      <c r="P20" s="120">
        <v>0.025</v>
      </c>
      <c r="Q20" s="1"/>
      <c r="R20" s="158"/>
      <c r="S20" s="1"/>
      <c r="T20" s="119">
        <f>O20-'淘系'!O20-'淘系达播'!O20-'抖音'!O20-'抖音达播'!O20-'快手'!O20-'京东POP财经口径'!O20-'京东自营财经口径'!O20-PDD!O20-'得物'!O20-'视频号+官网+小程序'!O20-'唯品会'!O20-'线下门店-直营'!O20-'线下门店-经销'!O20-'线下渠道'!O20</f>
      </c>
      <c r="U20" s="70"/>
      <c r="V20" s="70"/>
    </row>
    <row r="21">
      <c r="A21" s="1"/>
      <c r="B21" s="83" t="str">
        <v>成本合计（产品+物流）</v>
      </c>
      <c r="C21" s="115">
        <f>SUM(C18,C20)</f>
      </c>
      <c r="D21" s="115">
        <f>SUM(D18,D20)</f>
      </c>
      <c r="E21" s="115">
        <f>SUM(E18,E20)</f>
      </c>
      <c r="F21" s="115">
        <f>SUM(F18,F20)</f>
      </c>
      <c r="G21" s="115">
        <f>SUM(G18,G20)</f>
      </c>
      <c r="H21" s="115">
        <f>SUM(H18,H20)</f>
      </c>
      <c r="I21" s="115">
        <f>SUM(I18,I20)</f>
      </c>
      <c r="J21" s="115">
        <f>SUM(J18,J20)</f>
      </c>
      <c r="K21" s="115">
        <f>SUM(K18,K20)</f>
      </c>
      <c r="L21" s="115">
        <f>SUM(L18,L20)</f>
      </c>
      <c r="M21" s="115">
        <f>SUM(M18,M20)</f>
      </c>
      <c r="N21" s="115">
        <f>SUM(N18,N20)</f>
      </c>
      <c r="O21" s="115">
        <f>SUM(C21:N21)</f>
      </c>
      <c r="P21" s="116">
        <f>O21/$O$16</f>
      </c>
      <c r="Q21" s="1"/>
      <c r="R21" s="158"/>
      <c r="S21" s="1"/>
      <c r="T21" s="119">
        <f>O21-'淘系'!O21-'淘系达播'!O21-'抖音'!O21-'抖音达播'!O21-'快手'!O21-'京东POP财经口径'!O21-'京东自营财经口径'!O21-PDD!O21-'得物'!O21-'视频号+官网+小程序'!O21-'唯品会'!O21-'线下门店-直营'!O21-'线下门店-经销'!O21-'线下渠道'!O21</f>
      </c>
      <c r="U21" s="70"/>
      <c r="V21" s="70"/>
    </row>
    <row r="22">
      <c r="A22" s="135"/>
      <c r="B22" s="98" t="str">
        <v>净毛利</v>
      </c>
      <c r="C22" s="98">
        <f>C16-C21</f>
      </c>
      <c r="D22" s="98">
        <f>D16-D21</f>
      </c>
      <c r="E22" s="98">
        <f>E16-E21</f>
      </c>
      <c r="F22" s="98">
        <f>F16-F21</f>
      </c>
      <c r="G22" s="98">
        <f>G16-G21</f>
      </c>
      <c r="H22" s="98">
        <f>H16-H21</f>
      </c>
      <c r="I22" s="98">
        <f>I16-I21</f>
      </c>
      <c r="J22" s="98">
        <f>J16-J21</f>
      </c>
      <c r="K22" s="98">
        <f>K16-K21</f>
      </c>
      <c r="L22" s="98">
        <f>L16-L21</f>
      </c>
      <c r="M22" s="98">
        <f>M16-M21</f>
      </c>
      <c r="N22" s="98">
        <f>N16-N21</f>
      </c>
      <c r="O22" s="98">
        <f>SUM(C22:N22)</f>
      </c>
      <c r="P22" s="162">
        <f>O22/$O$16</f>
      </c>
      <c r="Q22" s="1"/>
      <c r="R22" s="1"/>
      <c r="S22" s="1"/>
      <c r="T22" s="119">
        <f>O22-'淘系'!O22-'淘系达播'!O22-'抖音'!O22-'抖音达播'!O22-'快手'!O22-'京东POP财经口径'!O22-'京东自营财经口径'!O22-PDD!O22-'得物'!O22-'视频号+官网+小程序'!O22-'唯品会'!O22-'线下门店-直营'!O22-'线下门店-经销'!O22-'线下渠道'!O22</f>
      </c>
      <c r="U22" s="70"/>
      <c r="V22" s="70"/>
    </row>
    <row r="23">
      <c r="A23" s="1"/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120"/>
      <c r="Q23" s="1"/>
      <c r="R23" s="1" t="str">
        <v>top down 毛利53%</v>
      </c>
      <c r="S23" s="1"/>
      <c r="T23" s="119">
        <f>O23-'淘系'!O23-'淘系达播'!O23-'抖音'!O23-'抖音达播'!O23-'快手'!O23-'京东POP财经口径'!O23-'京东自营财经口径'!O23-PDD!O23-'得物'!O23-'视频号+官网+小程序'!O23-'唯品会'!O23-'线下门店-直营'!O23-'线下门店-经销'!O23-'线下渠道'!O23</f>
      </c>
      <c r="U23" s="70"/>
      <c r="V23" s="70"/>
    </row>
    <row r="24">
      <c r="A24" s="1"/>
      <c r="B24" s="102" t="str">
        <v>合计毛利率</v>
      </c>
      <c r="C24" s="165">
        <f>IFERROR(1-C21/C16,0)</f>
      </c>
      <c r="D24" s="165">
        <f>IFERROR(1-D21/D16,0)</f>
      </c>
      <c r="E24" s="165">
        <f>IFERROR(1-E21/E16,0)</f>
      </c>
      <c r="F24" s="165">
        <f>IFERROR(1-F21/F16,0)</f>
      </c>
      <c r="G24" s="165">
        <f>IFERROR(1-G21/G16,0)</f>
      </c>
      <c r="H24" s="165">
        <f>IFERROR(1-H21/H16,0)</f>
      </c>
      <c r="I24" s="165">
        <f>IFERROR(1-I21/I16,0)</f>
      </c>
      <c r="J24" s="165">
        <f>IFERROR(1-J21/J16,0)</f>
      </c>
      <c r="K24" s="165">
        <f>IFERROR(1-K21/K16,0)</f>
      </c>
      <c r="L24" s="165">
        <f>IFERROR(1-L21/L16,0)</f>
      </c>
      <c r="M24" s="165">
        <f>IFERROR(1-M21/M16,0)</f>
      </c>
      <c r="N24" s="165">
        <f>IFERROR(1-N21/N16,0)</f>
      </c>
      <c r="O24" s="165">
        <f>IFERROR(1-O21/O16,0)</f>
      </c>
      <c r="P24" s="120"/>
      <c r="Q24" s="1"/>
      <c r="R24" s="1"/>
      <c r="S24" s="1"/>
      <c r="T24" s="119">
        <f>O24-'淘系'!O24-'淘系达播'!O24-'抖音'!O24-'抖音达播'!O24-'快手'!O24-'京东POP财经口径'!O24-'京东自营财经口径'!O24-PDD!O24-'得物'!O24-'视频号+官网+小程序'!O24-'唯品会'!O24-'线下门店-直营'!O24-'线下门店-经销'!O24-'线下渠道'!O24</f>
      </c>
      <c r="U24" s="70"/>
      <c r="V24" s="70"/>
    </row>
    <row r="25">
      <c r="A25" s="1"/>
      <c r="B25" s="1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20"/>
      <c r="Q25" s="1"/>
      <c r="R25" s="1"/>
      <c r="S25" s="1"/>
      <c r="T25" s="119">
        <f>O25-'淘系'!O25-'淘系达播'!O25-'抖音'!O25-'抖音达播'!O25-'快手'!O25-'京东POP财经口径'!O25-'京东自营财经口径'!O25-PDD!O25-'得物'!O25-'视频号+官网+小程序'!O25-'唯品会'!O25-'线下门店-直营'!O25-'线下门店-经销'!O25-'线下渠道'!O25</f>
      </c>
      <c r="U25" s="70"/>
      <c r="V25" s="70"/>
    </row>
    <row r="26">
      <c r="A26" s="1"/>
      <c r="B26" s="129" t="str">
        <v>品牌及内容费用</v>
      </c>
      <c r="C26" s="129">
        <f>SUM(C27:C31)</f>
      </c>
      <c r="D26" s="129">
        <f>SUM(D27:D31)</f>
      </c>
      <c r="E26" s="129">
        <f>SUM(E27:E31)</f>
      </c>
      <c r="F26" s="129">
        <f>SUM(F27:F31)</f>
      </c>
      <c r="G26" s="129">
        <f>SUM(G27:G31)</f>
      </c>
      <c r="H26" s="129">
        <f>SUM(H27:H31)</f>
      </c>
      <c r="I26" s="129">
        <f>SUM(I27:I31)</f>
      </c>
      <c r="J26" s="129">
        <f>SUM(J27:J31)</f>
      </c>
      <c r="K26" s="129">
        <f>SUM(K27:K31)</f>
      </c>
      <c r="L26" s="129">
        <f>SUM(L27:L31)</f>
      </c>
      <c r="M26" s="129">
        <f>SUM(M27:M31)</f>
      </c>
      <c r="N26" s="129">
        <f>SUM(N27:N31)</f>
      </c>
      <c r="O26" s="129">
        <f>SUM(C26:N26)</f>
      </c>
      <c r="P26" s="128">
        <f>O26/$O$16</f>
      </c>
      <c r="Q26" s="1"/>
      <c r="R26" s="1"/>
      <c r="S26" s="1"/>
      <c r="T26" s="119">
        <f>O26-'淘系'!O26-'淘系达播'!O26-'抖音'!O26-'抖音达播'!O26-'快手'!O26-'京东POP财经口径'!O26-'京东自营财经口径'!O26-PDD!O26-'得物'!O26-'视频号+官网+小程序'!O26-'唯品会'!O26-'线下门店-直营'!O26-'线下门店-经销'!O26-'线下渠道'!O26</f>
      </c>
    </row>
    <row r="27">
      <c r="A27" s="118"/>
      <c r="B27" s="117" t="str">
        <v>展会</v>
      </c>
      <c r="C27" s="117">
        <f>'淘系'!C27+'抖音'!C27+PDD!C27+'得物'!C27+'京东自营财经口径'!C27+'京东POP财经口径'!C27+'视频号+官网+小程序'!C27+'快手'!C27+'唯品会'!C27+'线下门店-直营'!C27+'线下门店-经销'!C27+'线下渠道'!C27+'淘系达播'!C27+'抖音达播'!C27</f>
      </c>
      <c r="D27" s="117">
        <f>'淘系'!D27+'抖音'!D27+PDD!D27+'得物'!D27+'京东自营财经口径'!D27+'京东POP财经口径'!D27+'视频号+官网+小程序'!D27+'快手'!D27+'唯品会'!D27+'线下门店-直营'!D27+'线下门店-经销'!D27+'线下渠道'!D27+'淘系达播'!D27+'抖音达播'!D27</f>
      </c>
      <c r="E27" s="117">
        <f>'淘系'!E27+'抖音'!E27+PDD!E27+'得物'!E27+'京东自营财经口径'!E27+'京东POP财经口径'!E27+'视频号+官网+小程序'!E27+'快手'!E27+'唯品会'!E27+'线下门店-直营'!E27+'线下门店-经销'!E27+'线下渠道'!E27+'淘系达播'!E27+'抖音达播'!E27</f>
      </c>
      <c r="F27" s="117">
        <f>'淘系'!F27+'抖音'!F27+PDD!F27+'得物'!F27+'京东自营财经口径'!F27+'京东POP财经口径'!F27+'视频号+官网+小程序'!F27+'快手'!F27+'唯品会'!F27+'线下门店-直营'!F27+'线下门店-经销'!F27+'线下渠道'!F27+'淘系达播'!F27+'抖音达播'!F27</f>
      </c>
      <c r="G27" s="117">
        <f>'淘系'!G27+'抖音'!G27+PDD!G27+'得物'!G27+'京东自营财经口径'!G27+'京东POP财经口径'!G27+'视频号+官网+小程序'!G27+'快手'!G27+'唯品会'!G27+'线下门店-直营'!G27+'线下门店-经销'!G27+'线下渠道'!G27+'淘系达播'!G27+'抖音达播'!G27</f>
      </c>
      <c r="H27" s="117">
        <f>'淘系'!H27+'抖音'!H27+PDD!H27+'得物'!H27+'京东自营财经口径'!H27+'京东POP财经口径'!H27+'视频号+官网+小程序'!H27+'快手'!H27+'唯品会'!H27+'线下门店-直营'!H27+'线下门店-经销'!H27+'线下渠道'!H27+'淘系达播'!H27+'抖音达播'!H27</f>
      </c>
      <c r="I27" s="117">
        <f>'淘系'!I27+'抖音'!I27+PDD!I27+'得物'!I27+'京东自营财经口径'!I27+'京东POP财经口径'!I27+'视频号+官网+小程序'!I27+'快手'!I27+'唯品会'!I27+'线下门店-直营'!I27+'线下门店-经销'!I27+'线下渠道'!I27+'淘系达播'!I27+'抖音达播'!I27</f>
      </c>
      <c r="J27" s="117">
        <f>'淘系'!J27+'抖音'!J27+PDD!J27+'得物'!J27+'京东自营财经口径'!J27+'京东POP财经口径'!J27+'视频号+官网+小程序'!J27+'快手'!J27+'唯品会'!J27+'线下门店-直营'!J27+'线下门店-经销'!J27+'线下渠道'!J27+'淘系达播'!J27+'抖音达播'!J27</f>
      </c>
      <c r="K27" s="117">
        <f>'淘系'!K27+'抖音'!K27+PDD!K27+'得物'!K27+'京东自营财经口径'!K27+'京东POP财经口径'!K27+'视频号+官网+小程序'!K27+'快手'!K27+'唯品会'!K27+'线下门店-直营'!K27+'线下门店-经销'!K27+'线下渠道'!K27+'淘系达播'!K27+'抖音达播'!K27</f>
      </c>
      <c r="L27" s="117">
        <f>'淘系'!L27+'抖音'!L27+PDD!L27+'得物'!L27+'京东自营财经口径'!L27+'京东POP财经口径'!L27+'视频号+官网+小程序'!L27+'快手'!L27+'唯品会'!L27+'线下门店-直营'!L27+'线下门店-经销'!L27+'线下渠道'!L27+'淘系达播'!L27+'抖音达播'!L27</f>
      </c>
      <c r="M27" s="117">
        <f>'淘系'!M27+'抖音'!M27+PDD!M27+'得物'!M27+'京东自营财经口径'!M27+'京东POP财经口径'!M27+'视频号+官网+小程序'!M27+'快手'!M27+'唯品会'!M27+'线下门店-直营'!M27+'线下门店-经销'!M27+'线下渠道'!M27+'淘系达播'!M27+'抖音达播'!M27</f>
      </c>
      <c r="N27" s="117">
        <f>'淘系'!N27+'抖音'!N27+PDD!N27+'得物'!N27+'京东自营财经口径'!N27+'京东POP财经口径'!N27+'视频号+官网+小程序'!N27+'快手'!N27+'唯品会'!N27+'线下门店-直营'!N27+'线下门店-经销'!N27+'线下渠道'!N27+'淘系达播'!N27+'抖音达播'!N27</f>
      </c>
      <c r="O27" s="117">
        <f>SUM(C27:N27)</f>
      </c>
      <c r="P27" s="120">
        <f>O27/$O$16</f>
      </c>
      <c r="Q27" s="90"/>
      <c r="R27" s="1"/>
      <c r="S27" s="1"/>
      <c r="T27" s="119">
        <f>O27-'淘系'!O27-'淘系达播'!O27-'抖音'!O27-'抖音达播'!O27-'快手'!O27-'京东POP财经口径'!O27-'京东自营财经口径'!O27-PDD!O27-'得物'!O27-'视频号+官网+小程序'!O27-'唯品会'!O27-'线下门店-直营'!O27-'线下门店-经销'!O27-'线下渠道'!O27</f>
      </c>
    </row>
    <row r="28">
      <c r="A28" s="118"/>
      <c r="B28" s="117" t="str">
        <v>品牌营销</v>
      </c>
      <c r="C28" s="117">
        <f>'淘系'!C28+'抖音'!C28+PDD!C28+'得物'!C28+'京东自营财经口径'!C28+'京东POP财经口径'!C28+'视频号+官网+小程序'!C28+'快手'!C28+'唯品会'!C28+'线下门店-直营'!C28+'线下门店-经销'!C28+'线下渠道'!C28+'淘系达播'!C28+'抖音达播'!C28</f>
      </c>
      <c r="D28" s="117">
        <f>'淘系'!D28+'抖音'!D28+PDD!D28+'得物'!D28+'京东自营财经口径'!D28+'京东POP财经口径'!D28+'视频号+官网+小程序'!D28+'快手'!D28+'唯品会'!D28+'线下门店-直营'!D28+'线下门店-经销'!D28+'线下渠道'!D28+'淘系达播'!D28+'抖音达播'!D28</f>
      </c>
      <c r="E28" s="117">
        <f>'淘系'!E28+'抖音'!E28+PDD!E28+'得物'!E28+'京东自营财经口径'!E28+'京东POP财经口径'!E28+'视频号+官网+小程序'!E28+'快手'!E28+'唯品会'!E28+'线下门店-直营'!E28+'线下门店-经销'!E28+'线下渠道'!E28+'淘系达播'!E28+'抖音达播'!E28</f>
      </c>
      <c r="F28" s="117">
        <f>'淘系'!F28+'抖音'!F28+PDD!F28+'得物'!F28+'京东自营财经口径'!F28+'京东POP财经口径'!F28+'视频号+官网+小程序'!F28+'快手'!F28+'唯品会'!F28+'线下门店-直营'!F28+'线下门店-经销'!F28+'线下渠道'!F28+'淘系达播'!F28+'抖音达播'!F28</f>
      </c>
      <c r="G28" s="117">
        <f>'淘系'!G28+'抖音'!G28+PDD!G28+'得物'!G28+'京东自营财经口径'!G28+'京东POP财经口径'!G28+'视频号+官网+小程序'!G28+'快手'!G28+'唯品会'!G28+'线下门店-直营'!G28+'线下门店-经销'!G28+'线下渠道'!G28+'淘系达播'!G28+'抖音达播'!G28</f>
      </c>
      <c r="H28" s="117">
        <f>'淘系'!H28+'抖音'!H28+PDD!H28+'得物'!H28+'京东自营财经口径'!H28+'京东POP财经口径'!H28+'视频号+官网+小程序'!H28+'快手'!H28+'唯品会'!H28+'线下门店-直营'!H28+'线下门店-经销'!H28+'线下渠道'!H28+'淘系达播'!H28+'抖音达播'!H28</f>
      </c>
      <c r="I28" s="117">
        <f>'淘系'!I28+'抖音'!I28+PDD!I28+'得物'!I28+'京东自营财经口径'!I28+'京东POP财经口径'!I28+'视频号+官网+小程序'!I28+'快手'!I28+'唯品会'!I28+'线下门店-直营'!I28+'线下门店-经销'!I28+'线下渠道'!I28+'淘系达播'!I28+'抖音达播'!I28</f>
      </c>
      <c r="J28" s="117">
        <f>'淘系'!J28+'抖音'!J28+PDD!J28+'得物'!J28+'京东自营财经口径'!J28+'京东POP财经口径'!J28+'视频号+官网+小程序'!J28+'快手'!J28+'唯品会'!J28+'线下门店-直营'!J28+'线下门店-经销'!J28+'线下渠道'!J28+'淘系达播'!J28+'抖音达播'!J28</f>
      </c>
      <c r="K28" s="117">
        <f>'淘系'!K28+'抖音'!K28+PDD!K28+'得物'!K28+'京东自营财经口径'!K28+'京东POP财经口径'!K28+'视频号+官网+小程序'!K28+'快手'!K28+'唯品会'!K28+'线下门店-直营'!K28+'线下门店-经销'!K28+'线下渠道'!K28+'淘系达播'!K28+'抖音达播'!K28</f>
      </c>
      <c r="L28" s="117">
        <f>'淘系'!L28+'抖音'!L28+PDD!L28+'得物'!L28+'京东自营财经口径'!L28+'京东POP财经口径'!L28+'视频号+官网+小程序'!L28+'快手'!L28+'唯品会'!L28+'线下门店-直营'!L28+'线下门店-经销'!L28+'线下渠道'!L28+'淘系达播'!L28+'抖音达播'!L28</f>
      </c>
      <c r="M28" s="117">
        <f>'淘系'!M28+'抖音'!M28+PDD!M28+'得物'!M28+'京东自营财经口径'!M28+'京东POP财经口径'!M28+'视频号+官网+小程序'!M28+'快手'!M28+'唯品会'!M28+'线下门店-直营'!M28+'线下门店-经销'!M28+'线下渠道'!M28+'淘系达播'!M28+'抖音达播'!M28</f>
      </c>
      <c r="N28" s="117">
        <f>'淘系'!N28+'抖音'!N28+PDD!N28+'得物'!N28+'京东自营财经口径'!N28+'京东POP财经口径'!N28+'视频号+官网+小程序'!N28+'快手'!N28+'唯品会'!N28+'线下门店-直营'!N28+'线下门店-经销'!N28+'线下渠道'!N28+'淘系达播'!N28+'抖音达播'!N28</f>
      </c>
      <c r="O28" s="117">
        <f>SUM(C28:N28)</f>
      </c>
      <c r="P28" s="120">
        <f>O28/$O$16</f>
      </c>
      <c r="Q28" s="90"/>
      <c r="R28" s="1"/>
      <c r="S28" s="1"/>
      <c r="T28" s="119">
        <f>O28-'淘系'!O28-'淘系达播'!O28-'抖音'!O28-'抖音达播'!O28-'快手'!O28-'京东POP财经口径'!O28-'京东自营财经口径'!O28-PDD!O28-'得物'!O28-'视频号+官网+小程序'!O28-'唯品会'!O28-'线下门店-直营'!O28-'线下门店-经销'!O28-'线下渠道'!O28</f>
      </c>
    </row>
    <row r="29">
      <c r="A29" s="118"/>
      <c r="B29" s="117" t="str">
        <v>内容素材制作</v>
      </c>
      <c r="C29" s="117">
        <f>'淘系'!C29+'抖音'!C29+PDD!C29+'得物'!C29+'京东自营财经口径'!C29+'京东POP财经口径'!C29+'视频号+官网+小程序'!C29+'快手'!C29+'唯品会'!C29+'线下门店-直营'!C29+'线下门店-经销'!C29+'线下渠道'!C29+'淘系达播'!C29+'抖音达播'!C29</f>
      </c>
      <c r="D29" s="117">
        <f>'淘系'!D29+'抖音'!D29+PDD!D29+'得物'!D29+'京东自营财经口径'!D29+'京东POP财经口径'!D29+'视频号+官网+小程序'!D29+'快手'!D29+'唯品会'!D29+'线下门店-直营'!D29+'线下门店-经销'!D29+'线下渠道'!D29+'淘系达播'!D29+'抖音达播'!D29</f>
      </c>
      <c r="E29" s="117">
        <f>'淘系'!E29+'抖音'!E29+PDD!E29+'得物'!E29+'京东自营财经口径'!E29+'京东POP财经口径'!E29+'视频号+官网+小程序'!E29+'快手'!E29+'唯品会'!E29+'线下门店-直营'!E29+'线下门店-经销'!E29+'线下渠道'!E29+'淘系达播'!E29+'抖音达播'!E29</f>
      </c>
      <c r="F29" s="117">
        <f>'淘系'!F29+'抖音'!F29+PDD!F29+'得物'!F29+'京东自营财经口径'!F29+'京东POP财经口径'!F29+'视频号+官网+小程序'!F29+'快手'!F29+'唯品会'!F29+'线下门店-直营'!F29+'线下门店-经销'!F29+'线下渠道'!F29+'淘系达播'!F29+'抖音达播'!F29</f>
      </c>
      <c r="G29" s="117">
        <f>'淘系'!G29+'抖音'!G29+PDD!G29+'得物'!G29+'京东自营财经口径'!G29+'京东POP财经口径'!G29+'视频号+官网+小程序'!G29+'快手'!G29+'唯品会'!G29+'线下门店-直营'!G29+'线下门店-经销'!G29+'线下渠道'!G29+'淘系达播'!G29+'抖音达播'!G29</f>
      </c>
      <c r="H29" s="117">
        <f>'淘系'!H29+'抖音'!H29+PDD!H29+'得物'!H29+'京东自营财经口径'!H29+'京东POP财经口径'!H29+'视频号+官网+小程序'!H29+'快手'!H29+'唯品会'!H29+'线下门店-直营'!H29+'线下门店-经销'!H29+'线下渠道'!H29+'淘系达播'!H29+'抖音达播'!H29</f>
      </c>
      <c r="I29" s="117">
        <f>'淘系'!I29+'抖音'!I29+PDD!I29+'得物'!I29+'京东自营财经口径'!I29+'京东POP财经口径'!I29+'视频号+官网+小程序'!I29+'快手'!I29+'唯品会'!I29+'线下门店-直营'!I29+'线下门店-经销'!I29+'线下渠道'!I29+'淘系达播'!I29+'抖音达播'!I29</f>
      </c>
      <c r="J29" s="117">
        <f>'淘系'!J29+'抖音'!J29+PDD!J29+'得物'!J29+'京东自营财经口径'!J29+'京东POP财经口径'!J29+'视频号+官网+小程序'!J29+'快手'!J29+'唯品会'!J29+'线下门店-直营'!J29+'线下门店-经销'!J29+'线下渠道'!J29+'淘系达播'!J29+'抖音达播'!J29</f>
      </c>
      <c r="K29" s="117">
        <f>'淘系'!K29+'抖音'!K29+PDD!K29+'得物'!K29+'京东自营财经口径'!K29+'京东POP财经口径'!K29+'视频号+官网+小程序'!K29+'快手'!K29+'唯品会'!K29+'线下门店-直营'!K29+'线下门店-经销'!K29+'线下渠道'!K29+'淘系达播'!K29+'抖音达播'!K29</f>
      </c>
      <c r="L29" s="117">
        <f>'淘系'!L29+'抖音'!L29+PDD!L29+'得物'!L29+'京东自营财经口径'!L29+'京东POP财经口径'!L29+'视频号+官网+小程序'!L29+'快手'!L29+'唯品会'!L29+'线下门店-直营'!L29+'线下门店-经销'!L29+'线下渠道'!L29+'淘系达播'!L29+'抖音达播'!L29</f>
      </c>
      <c r="M29" s="117">
        <f>'淘系'!M29+'抖音'!M29+PDD!M29+'得物'!M29+'京东自营财经口径'!M29+'京东POP财经口径'!M29+'视频号+官网+小程序'!M29+'快手'!M29+'唯品会'!M29+'线下门店-直营'!M29+'线下门店-经销'!M29+'线下渠道'!M29+'淘系达播'!M29+'抖音达播'!M29</f>
      </c>
      <c r="N29" s="117">
        <f>'淘系'!N29+'抖音'!N29+PDD!N29+'得物'!N29+'京东自营财经口径'!N29+'京东POP财经口径'!N29+'视频号+官网+小程序'!N29+'快手'!N29+'唯品会'!N29+'线下门店-直营'!N29+'线下门店-经销'!N29+'线下渠道'!N29+'淘系达播'!N29+'抖音达播'!N29</f>
      </c>
      <c r="O29" s="117">
        <f>SUM(C29:N29)</f>
      </c>
      <c r="P29" s="120">
        <f>O29/$O$16</f>
      </c>
      <c r="Q29" s="1"/>
      <c r="R29" s="1"/>
      <c r="S29" s="1"/>
      <c r="T29" s="119">
        <f>O29-'淘系'!O29-'淘系达播'!O29-'抖音'!O29-'抖音达播'!O29-'快手'!O29-'京东POP财经口径'!O29-'京东自营财经口径'!O29-PDD!O29-'得物'!O29-'视频号+官网+小程序'!O29-'唯品会'!O29-'线下门店-直营'!O29-'线下门店-经销'!O29-'线下渠道'!O29</f>
      </c>
    </row>
    <row r="30">
      <c r="A30" s="118"/>
      <c r="B30" s="117" t="str">
        <v>公关费用</v>
      </c>
      <c r="C30" s="117">
        <f>'淘系'!C30+'抖音'!C30+PDD!C30+'得物'!C30+'京东自营财经口径'!C30+'京东POP财经口径'!C30+'视频号+官网+小程序'!C30+'快手'!C30+'唯品会'!C30+'线下门店-直营'!C30+'线下门店-经销'!C30+'线下渠道'!C30+'淘系达播'!C30+'抖音达播'!C30</f>
      </c>
      <c r="D30" s="117">
        <f>'淘系'!D30+'抖音'!D30+PDD!D30+'得物'!D30+'京东自营财经口径'!D30+'京东POP财经口径'!D30+'视频号+官网+小程序'!D30+'快手'!D30+'唯品会'!D30+'线下门店-直营'!D30+'线下门店-经销'!D30+'线下渠道'!D30+'淘系达播'!D30+'抖音达播'!D30</f>
      </c>
      <c r="E30" s="117">
        <f>'淘系'!E30+'抖音'!E30+PDD!E30+'得物'!E30+'京东自营财经口径'!E30+'京东POP财经口径'!E30+'视频号+官网+小程序'!E30+'快手'!E30+'唯品会'!E30+'线下门店-直营'!E30+'线下门店-经销'!E30+'线下渠道'!E30+'淘系达播'!E30+'抖音达播'!E30</f>
      </c>
      <c r="F30" s="117">
        <f>'淘系'!F30+'抖音'!F30+PDD!F30+'得物'!F30+'京东自营财经口径'!F30+'京东POP财经口径'!F30+'视频号+官网+小程序'!F30+'快手'!F30+'唯品会'!F30+'线下门店-直营'!F30+'线下门店-经销'!F30+'线下渠道'!F30+'淘系达播'!F30+'抖音达播'!F30</f>
      </c>
      <c r="G30" s="117">
        <f>'淘系'!G30+'抖音'!G30+PDD!G30+'得物'!G30+'京东自营财经口径'!G30+'京东POP财经口径'!G30+'视频号+官网+小程序'!G30+'快手'!G30+'唯品会'!G30+'线下门店-直营'!G30+'线下门店-经销'!G30+'线下渠道'!G30+'淘系达播'!G30+'抖音达播'!G30</f>
      </c>
      <c r="H30" s="117">
        <f>'淘系'!H30+'抖音'!H30+PDD!H30+'得物'!H30+'京东自营财经口径'!H30+'京东POP财经口径'!H30+'视频号+官网+小程序'!H30+'快手'!H30+'唯品会'!H30+'线下门店-直营'!H30+'线下门店-经销'!H30+'线下渠道'!H30+'淘系达播'!H30+'抖音达播'!H30</f>
      </c>
      <c r="I30" s="117">
        <f>'淘系'!I30+'抖音'!I30+PDD!I30+'得物'!I30+'京东自营财经口径'!I30+'京东POP财经口径'!I30+'视频号+官网+小程序'!I30+'快手'!I30+'唯品会'!I30+'线下门店-直营'!I30+'线下门店-经销'!I30+'线下渠道'!I30+'淘系达播'!I30+'抖音达播'!I30</f>
      </c>
      <c r="J30" s="117">
        <f>'淘系'!J30+'抖音'!J30+PDD!J30+'得物'!J30+'京东自营财经口径'!J30+'京东POP财经口径'!J30+'视频号+官网+小程序'!J30+'快手'!J30+'唯品会'!J30+'线下门店-直营'!J30+'线下门店-经销'!J30+'线下渠道'!J30+'淘系达播'!J30+'抖音达播'!J30</f>
      </c>
      <c r="K30" s="117">
        <f>'淘系'!K30+'抖音'!K30+PDD!K30+'得物'!K30+'京东自营财经口径'!K30+'京东POP财经口径'!K30+'视频号+官网+小程序'!K30+'快手'!K30+'唯品会'!K30+'线下门店-直营'!K30+'线下门店-经销'!K30+'线下渠道'!K30+'淘系达播'!K30+'抖音达播'!K30</f>
      </c>
      <c r="L30" s="117">
        <f>'淘系'!L30+'抖音'!L30+PDD!L30+'得物'!L30+'京东自营财经口径'!L30+'京东POP财经口径'!L30+'视频号+官网+小程序'!L30+'快手'!L30+'唯品会'!L30+'线下门店-直营'!L30+'线下门店-经销'!L30+'线下渠道'!L30+'淘系达播'!L30+'抖音达播'!L30</f>
      </c>
      <c r="M30" s="117">
        <f>'淘系'!M30+'抖音'!M30+PDD!M30+'得物'!M30+'京东自营财经口径'!M30+'京东POP财经口径'!M30+'视频号+官网+小程序'!M30+'快手'!M30+'唯品会'!M30+'线下门店-直营'!M30+'线下门店-经销'!M30+'线下渠道'!M30+'淘系达播'!M30+'抖音达播'!M30</f>
      </c>
      <c r="N30" s="117">
        <f>'淘系'!N30+'抖音'!N30+PDD!N30+'得物'!N30+'京东自营财经口径'!N30+'京东POP财经口径'!N30+'视频号+官网+小程序'!N30+'快手'!N30+'唯品会'!N30+'线下门店-直营'!N30+'线下门店-经销'!N30+'线下渠道'!N30+'淘系达播'!N30+'抖音达播'!N30</f>
      </c>
      <c r="O30" s="117">
        <f>SUM(C30:N30)</f>
      </c>
      <c r="P30" s="120">
        <f>O30/$O$16</f>
      </c>
      <c r="Q30" s="1"/>
      <c r="R30" s="1"/>
      <c r="S30" s="1"/>
      <c r="T30" s="119">
        <f>O30-'淘系'!O30-'淘系达播'!O30-'抖音'!O30-'抖音达播'!O30-'快手'!O30-'京东POP财经口径'!O30-'京东自营财经口径'!O30-PDD!O30-'得物'!O30-'视频号+官网+小程序'!O30-'唯品会'!O30-'线下门店-直营'!O30-'线下门店-经销'!O30-'线下渠道'!O30</f>
      </c>
    </row>
    <row collapsed="true" r="31">
      <c r="A31" s="118"/>
      <c r="B31" s="117" t="str">
        <v>达人种草、样机及加热</v>
      </c>
      <c r="C31" s="117">
        <f>'淘系'!C31+'抖音'!C31+PDD!C31+'得物'!C31+'京东自营财经口径'!C31+'京东POP财经口径'!C31+'视频号+官网+小程序'!C31+'快手'!C31+'唯品会'!C31+'线下门店-直营'!C31+'线下门店-经销'!C31+'线下渠道'!C31+'淘系达播'!C31+'抖音达播'!C31</f>
      </c>
      <c r="D31" s="117">
        <f>'淘系'!D31+'抖音'!D31+PDD!D31+'得物'!D31+'京东自营财经口径'!D31+'京东POP财经口径'!D31+'视频号+官网+小程序'!D31+'快手'!D31+'唯品会'!D31+'线下门店-直营'!D31+'线下门店-经销'!D31+'线下渠道'!D31+'淘系达播'!D31+'抖音达播'!D31</f>
      </c>
      <c r="E31" s="117">
        <f>'淘系'!E31+'抖音'!E31+PDD!E31+'得物'!E31+'京东自营财经口径'!E31+'京东POP财经口径'!E31+'视频号+官网+小程序'!E31+'快手'!E31+'唯品会'!E31+'线下门店-直营'!E31+'线下门店-经销'!E31+'线下渠道'!E31+'淘系达播'!E31+'抖音达播'!E31</f>
      </c>
      <c r="F31" s="117">
        <f>'淘系'!F31+'抖音'!F31+PDD!F31+'得物'!F31+'京东自营财经口径'!F31+'京东POP财经口径'!F31+'视频号+官网+小程序'!F31+'快手'!F31+'唯品会'!F31+'线下门店-直营'!F31+'线下门店-经销'!F31+'线下渠道'!F31+'淘系达播'!F31+'抖音达播'!F31</f>
      </c>
      <c r="G31" s="117">
        <f>'淘系'!G31+'抖音'!G31+PDD!G31+'得物'!G31+'京东自营财经口径'!G31+'京东POP财经口径'!G31+'视频号+官网+小程序'!G31+'快手'!G31+'唯品会'!G31+'线下门店-直营'!G31+'线下门店-经销'!G31+'线下渠道'!G31+'淘系达播'!G31+'抖音达播'!G31</f>
      </c>
      <c r="H31" s="117">
        <f>'淘系'!H31+'抖音'!H31+PDD!H31+'得物'!H31+'京东自营财经口径'!H31+'京东POP财经口径'!H31+'视频号+官网+小程序'!H31+'快手'!H31+'唯品会'!H31+'线下门店-直营'!H31+'线下门店-经销'!H31+'线下渠道'!H31+'淘系达播'!H31+'抖音达播'!H31</f>
      </c>
      <c r="I31" s="117">
        <f>'淘系'!I31+'抖音'!I31+PDD!I31+'得物'!I31+'京东自营财经口径'!I31+'京东POP财经口径'!I31+'视频号+官网+小程序'!I31+'快手'!I31+'唯品会'!I31+'线下门店-直营'!I31+'线下门店-经销'!I31+'线下渠道'!I31+'淘系达播'!I31+'抖音达播'!I31</f>
      </c>
      <c r="J31" s="117">
        <f>'淘系'!J31+'抖音'!J31+PDD!J31+'得物'!J31+'京东自营财经口径'!J31+'京东POP财经口径'!J31+'视频号+官网+小程序'!J31+'快手'!J31+'唯品会'!J31+'线下门店-直营'!J31+'线下门店-经销'!J31+'线下渠道'!J31+'淘系达播'!J31+'抖音达播'!J31</f>
      </c>
      <c r="K31" s="117">
        <f>'淘系'!K31+'抖音'!K31+PDD!K31+'得物'!K31+'京东自营财经口径'!K31+'京东POP财经口径'!K31+'视频号+官网+小程序'!K31+'快手'!K31+'唯品会'!K31+'线下门店-直营'!K31+'线下门店-经销'!K31+'线下渠道'!K31+'淘系达播'!K31+'抖音达播'!K31</f>
      </c>
      <c r="L31" s="117">
        <f>'淘系'!L31+'抖音'!L31+PDD!L31+'得物'!L31+'京东自营财经口径'!L31+'京东POP财经口径'!L31+'视频号+官网+小程序'!L31+'快手'!L31+'唯品会'!L31+'线下门店-直营'!L31+'线下门店-经销'!L31+'线下渠道'!L31+'淘系达播'!L31+'抖音达播'!L31</f>
      </c>
      <c r="M31" s="117">
        <f>'淘系'!M31+'抖音'!M31+PDD!M31+'得物'!M31+'京东自营财经口径'!M31+'京东POP财经口径'!M31+'视频号+官网+小程序'!M31+'快手'!M31+'唯品会'!M31+'线下门店-直营'!M31+'线下门店-经销'!M31+'线下渠道'!M31+'淘系达播'!M31+'抖音达播'!M31</f>
      </c>
      <c r="N31" s="117">
        <f>'淘系'!N31+'抖音'!N31+PDD!N31+'得物'!N31+'京东自营财经口径'!N31+'京东POP财经口径'!N31+'视频号+官网+小程序'!N31+'快手'!N31+'唯品会'!N31+'线下门店-直营'!N31+'线下门店-经销'!N31+'线下渠道'!N31+'淘系达播'!N31+'抖音达播'!N31</f>
      </c>
      <c r="O31" s="117">
        <f>SUM(C31:N31)</f>
      </c>
      <c r="P31" s="120">
        <f>O31/$O$16</f>
      </c>
      <c r="Q31" s="1"/>
      <c r="R31" s="1"/>
      <c r="S31" s="1"/>
      <c r="T31" s="119">
        <f>O31-'淘系'!O31-'淘系达播'!O31-'抖音'!O31-'抖音达播'!O31-'快手'!O31-'京东POP财经口径'!O31-'京东自营财经口径'!O31-PDD!O31-'得物'!O31-'视频号+官网+小程序'!O31-'唯品会'!O31-'线下门店-直营'!O31-'线下门店-经销'!O31-'线下渠道'!O31</f>
      </c>
    </row>
    <row hidden="true" outlineLevel="1" r="32">
      <c r="A32" s="118"/>
      <c r="B32" s="117" t="str">
        <v>展会(费率)</v>
      </c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20"/>
      <c r="Q32" s="1"/>
      <c r="R32" s="1"/>
      <c r="S32" s="1"/>
      <c r="T32" s="119">
        <f>O32-'淘系'!O32-'淘系达播'!O32-'抖音'!O32-'抖音达播'!O32-'快手'!O32-'京东POP财经口径'!O32-'京东自营财经口径'!O32-PDD!O32-'得物'!O32-'视频号+官网+小程序'!O32-'唯品会'!O32-'线下门店-直营'!O32-'线下门店-经销'!O32-'线下渠道'!O32</f>
      </c>
    </row>
    <row hidden="true" outlineLevel="1" r="33">
      <c r="A33" s="118"/>
      <c r="B33" s="117" t="str">
        <v>品牌营销（费率）</v>
      </c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20"/>
      <c r="Q33" s="1"/>
      <c r="R33" s="1"/>
      <c r="S33" s="1"/>
      <c r="T33" s="119">
        <f>O33-'淘系'!O33-'淘系达播'!O33-'抖音'!O33-'抖音达播'!O33-'快手'!O33-'京东POP财经口径'!O33-'京东自营财经口径'!O33-PDD!O33-'得物'!O33-'视频号+官网+小程序'!O33-'唯品会'!O33-'线下门店-直营'!O33-'线下门店-经销'!O33-'线下渠道'!O33</f>
      </c>
    </row>
    <row hidden="true" outlineLevel="1" r="34">
      <c r="A34" s="118"/>
      <c r="B34" s="117" t="str">
        <v>内容素材制作（费率）</v>
      </c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20"/>
      <c r="Q34" s="1"/>
      <c r="T34" s="119">
        <f>O34-'淘系'!O34-'淘系达播'!O34-'抖音'!O34-'抖音达播'!O34-'快手'!O34-'京东POP财经口径'!O34-'京东自营财经口径'!O34-PDD!O34-'得物'!O34-'视频号+官网+小程序'!O34-'唯品会'!O34-'线下门店-直营'!O34-'线下门店-经销'!O34-'线下渠道'!O34</f>
      </c>
    </row>
    <row hidden="true" outlineLevel="1" r="35">
      <c r="A35" s="118"/>
      <c r="B35" s="117" t="str">
        <v>公关费用（费率）</v>
      </c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20"/>
      <c r="Q35" s="1"/>
      <c r="T35" s="119">
        <f>O35-'淘系'!O35-'淘系达播'!O35-'抖音'!O35-'抖音达播'!O35-'快手'!O35-'京东POP财经口径'!O35-'京东自营财经口径'!O35-PDD!O35-'得物'!O35-'视频号+官网+小程序'!O35-'唯品会'!O35-'线下门店-直营'!O35-'线下门店-经销'!O35-'线下渠道'!O35</f>
      </c>
    </row>
    <row hidden="true" outlineLevel="1" r="36">
      <c r="A36" s="118"/>
      <c r="B36" s="117" t="str">
        <v>达人种草、样机及加热（费率）</v>
      </c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20"/>
      <c r="Q36" s="1"/>
      <c r="T36" s="119">
        <f>O36-'淘系'!O36-'淘系达播'!O36-'抖音'!O36-'抖音达播'!O36-'快手'!O36-'京东POP财经口径'!O36-'京东自营财经口径'!O36-PDD!O36-'得物'!O36-'视频号+官网+小程序'!O36-'唯品会'!O36-'线下门店-直营'!O36-'线下门店-经销'!O36-'线下渠道'!O36</f>
      </c>
    </row>
    <row r="37">
      <c r="A37" s="1"/>
      <c r="B37" s="129" t="str">
        <v>效果广告</v>
      </c>
      <c r="C37" s="129">
        <f>SUM(C38:C40)</f>
      </c>
      <c r="D37" s="129">
        <f>SUM(D38:D40)</f>
      </c>
      <c r="E37" s="129">
        <f>SUM(E38:E40)</f>
      </c>
      <c r="F37" s="129">
        <f>SUM(F38:F40)</f>
      </c>
      <c r="G37" s="129">
        <f>SUM(G38:G40)</f>
      </c>
      <c r="H37" s="129">
        <f>SUM(H38:H40)</f>
      </c>
      <c r="I37" s="129">
        <f>SUM(I38:I40)</f>
      </c>
      <c r="J37" s="129">
        <f>SUM(J38:J40)</f>
      </c>
      <c r="K37" s="129">
        <f>SUM(K38:K40)</f>
      </c>
      <c r="L37" s="129">
        <f>SUM(L38:L40)</f>
      </c>
      <c r="M37" s="129">
        <f>SUM(M38:M40)</f>
      </c>
      <c r="N37" s="129">
        <f>SUM(N38:N40)</f>
      </c>
      <c r="O37" s="129">
        <f>SUM(C37:N37)</f>
      </c>
      <c r="P37" s="128">
        <f>O37/$O$16</f>
      </c>
      <c r="Q37" s="1"/>
      <c r="R37">
        <f>O16*20.5%</f>
      </c>
      <c r="S37" s="15"/>
      <c r="T37" s="119">
        <f>O37-'淘系'!O37-'淘系达播'!O37-'抖音'!O37-'抖音达播'!O37-'快手'!O37-'京东POP财经口径'!O37-'京东自营财经口径'!O37-PDD!O37-'得物'!O37-'视频号+官网+小程序'!O37-'唯品会'!O37-'线下门店-直营'!O37-'线下门店-经销'!O37-'线下渠道'!O37</f>
      </c>
      <c r="U37" s="70"/>
      <c r="V37" s="70"/>
    </row>
    <row r="38">
      <c r="A38" s="118"/>
      <c r="B38" s="117" t="str">
        <v>站内投放</v>
      </c>
      <c r="C38" s="117">
        <f>'淘系'!C38+'抖音'!C38+PDD!C38+'得物'!C38+'京东自营财经口径'!C38+'京东POP财经口径'!C38+'视频号+官网+小程序'!C38+'快手'!C38+'唯品会'!C38+'线下门店-直营'!C38+'线下门店-经销'!C38+'线下渠道'!C38+'淘系达播'!C38+'抖音达播'!C38</f>
      </c>
      <c r="D38" s="117">
        <f>'淘系'!D38+'抖音'!D38+PDD!D38+'得物'!D38+'京东自营财经口径'!D38+'京东POP财经口径'!D38+'视频号+官网+小程序'!D38+'快手'!D38+'唯品会'!D38+'线下门店-直营'!D38+'线下门店-经销'!D38+'线下渠道'!D38+'淘系达播'!D38+'抖音达播'!D38</f>
      </c>
      <c r="E38" s="117">
        <f>'淘系'!E38+'抖音'!E38+PDD!E38+'得物'!E38+'京东自营财经口径'!E38+'京东POP财经口径'!E38+'视频号+官网+小程序'!E38+'快手'!E38+'唯品会'!E38+'线下门店-直营'!E38+'线下门店-经销'!E38+'线下渠道'!E38+'淘系达播'!E38+'抖音达播'!E38</f>
      </c>
      <c r="F38" s="117">
        <f>'淘系'!F38+'抖音'!F38+PDD!F38+'得物'!F38+'京东自营财经口径'!F38+'京东POP财经口径'!F38+'视频号+官网+小程序'!F38+'快手'!F38+'唯品会'!F38+'线下门店-直营'!F38+'线下门店-经销'!F38+'线下渠道'!F38+'淘系达播'!F38+'抖音达播'!F38</f>
      </c>
      <c r="G38" s="117">
        <f>'淘系'!G38+'抖音'!G38+PDD!G38+'得物'!G38+'京东自营财经口径'!G38+'京东POP财经口径'!G38+'视频号+官网+小程序'!G38+'快手'!G38+'唯品会'!G38+'线下门店-直营'!G38+'线下门店-经销'!G38+'线下渠道'!G38+'淘系达播'!G38+'抖音达播'!G38</f>
      </c>
      <c r="H38" s="117">
        <f>'淘系'!H38+'抖音'!H38+PDD!H38+'得物'!H38+'京东自营财经口径'!H38+'京东POP财经口径'!H38+'视频号+官网+小程序'!H38+'快手'!H38+'唯品会'!H38+'线下门店-直营'!H38+'线下门店-经销'!H38+'线下渠道'!H38+'淘系达播'!H38+'抖音达播'!H38</f>
      </c>
      <c r="I38" s="117">
        <f>'淘系'!I38+'抖音'!I38+PDD!I38+'得物'!I38+'京东自营财经口径'!I38+'京东POP财经口径'!I38+'视频号+官网+小程序'!I38+'快手'!I38+'唯品会'!I38+'线下门店-直营'!I38+'线下门店-经销'!I38+'线下渠道'!I38+'淘系达播'!I38+'抖音达播'!I38</f>
      </c>
      <c r="J38" s="117">
        <f>'淘系'!J38+'抖音'!J38+PDD!J38+'得物'!J38+'京东自营财经口径'!J38+'京东POP财经口径'!J38+'视频号+官网+小程序'!J38+'快手'!J38+'唯品会'!J38+'线下门店-直营'!J38+'线下门店-经销'!J38+'线下渠道'!J38+'淘系达播'!J38+'抖音达播'!J38</f>
      </c>
      <c r="K38" s="117">
        <f>'淘系'!K38+'抖音'!K38+PDD!K38+'得物'!K38+'京东自营财经口径'!K38+'京东POP财经口径'!K38+'视频号+官网+小程序'!K38+'快手'!K38+'唯品会'!K38+'线下门店-直营'!K38+'线下门店-经销'!K38+'线下渠道'!K38+'淘系达播'!K38+'抖音达播'!K38</f>
      </c>
      <c r="L38" s="117">
        <f>'淘系'!L38+'抖音'!L38+PDD!L38+'得物'!L38+'京东自营财经口径'!L38+'京东POP财经口径'!L38+'视频号+官网+小程序'!L38+'快手'!L38+'唯品会'!L38+'线下门店-直营'!L38+'线下门店-经销'!L38+'线下渠道'!L38+'淘系达播'!L38+'抖音达播'!L38</f>
      </c>
      <c r="M38" s="117">
        <f>'淘系'!M38+'抖音'!M38+PDD!M38+'得物'!M38+'京东自营财经口径'!M38+'京东POP财经口径'!M38+'视频号+官网+小程序'!M38+'快手'!M38+'唯品会'!M38+'线下门店-直营'!M38+'线下门店-经销'!M38+'线下渠道'!M38+'淘系达播'!M38+'抖音达播'!M38</f>
      </c>
      <c r="N38" s="117">
        <f>'淘系'!N38+'抖音'!N38+PDD!N38+'得物'!N38+'京东自营财经口径'!N38+'京东POP财经口径'!N38+'视频号+官网+小程序'!N38+'快手'!N38+'唯品会'!N38+'线下门店-直营'!N38+'线下门店-经销'!N38+'线下渠道'!N38+'淘系达播'!N38+'抖音达播'!N38</f>
      </c>
      <c r="O38" s="117">
        <f>SUM(C38:N38)</f>
      </c>
      <c r="P38" s="120">
        <f>O38/$O$16</f>
      </c>
      <c r="Q38" s="1" t="str">
        <v>投放填写</v>
      </c>
      <c r="S38" s="15"/>
      <c r="T38" s="119">
        <f>O38-'淘系'!O38-'淘系达播'!O38-'抖音'!O38-'抖音达播'!O38-'快手'!O38-'京东POP财经口径'!O38-'京东自营财经口径'!O38-PDD!O38-'得物'!O38-'视频号+官网+小程序'!O38-'唯品会'!O38-'线下门店-直营'!O38-'线下门店-经销'!O38-'线下渠道'!O38</f>
      </c>
      <c r="U38" s="70"/>
      <c r="V38" s="70"/>
    </row>
    <row r="39">
      <c r="A39" s="118"/>
      <c r="B39" s="117" t="str">
        <v>千川投放</v>
      </c>
      <c r="C39" s="117">
        <f>'淘系'!C39+'抖音'!C39+PDD!C39+'得物'!C39+'京东自营财经口径'!C39+'京东POP财经口径'!C39+'视频号+官网+小程序'!C39+'快手'!C39+'唯品会'!C39+'线下门店-直营'!C39+'线下门店-经销'!C39+'线下渠道'!C39+'淘系达播'!C39+'抖音达播'!C39</f>
      </c>
      <c r="D39" s="117">
        <f>'淘系'!D39+'抖音'!D39+PDD!D39+'得物'!D39+'京东自营财经口径'!D39+'京东POP财经口径'!D39+'视频号+官网+小程序'!D39+'快手'!D39+'唯品会'!D39+'线下门店-直营'!D39+'线下门店-经销'!D39+'线下渠道'!D39+'淘系达播'!D39+'抖音达播'!D39</f>
      </c>
      <c r="E39" s="117">
        <f>'淘系'!E39+'抖音'!E39+PDD!E39+'得物'!E39+'京东自营财经口径'!E39+'京东POP财经口径'!E39+'视频号+官网+小程序'!E39+'快手'!E39+'唯品会'!E39+'线下门店-直营'!E39+'线下门店-经销'!E39+'线下渠道'!E39+'淘系达播'!E39+'抖音达播'!E39</f>
      </c>
      <c r="F39" s="117">
        <f>'淘系'!F39+'抖音'!F39+PDD!F39+'得物'!F39+'京东自营财经口径'!F39+'京东POP财经口径'!F39+'视频号+官网+小程序'!F39+'快手'!F39+'唯品会'!F39+'线下门店-直营'!F39+'线下门店-经销'!F39+'线下渠道'!F39+'淘系达播'!F39+'抖音达播'!F39</f>
      </c>
      <c r="G39" s="117">
        <f>'淘系'!G39+'抖音'!G39+PDD!G39+'得物'!G39+'京东自营财经口径'!G39+'京东POP财经口径'!G39+'视频号+官网+小程序'!G39+'快手'!G39+'唯品会'!G39+'线下门店-直营'!G39+'线下门店-经销'!G39+'线下渠道'!G39+'淘系达播'!G39+'抖音达播'!G39</f>
      </c>
      <c r="H39" s="117">
        <f>'淘系'!H39+'抖音'!H39+PDD!H39+'得物'!H39+'京东自营财经口径'!H39+'京东POP财经口径'!H39+'视频号+官网+小程序'!H39+'快手'!H39+'唯品会'!H39+'线下门店-直营'!H39+'线下门店-经销'!H39+'线下渠道'!H39+'淘系达播'!H39+'抖音达播'!H39</f>
      </c>
      <c r="I39" s="117">
        <f>'淘系'!I39+'抖音'!I39+PDD!I39+'得物'!I39+'京东自营财经口径'!I39+'京东POP财经口径'!I39+'视频号+官网+小程序'!I39+'快手'!I39+'唯品会'!I39+'线下门店-直营'!I39+'线下门店-经销'!I39+'线下渠道'!I39+'淘系达播'!I39+'抖音达播'!I39</f>
      </c>
      <c r="J39" s="117">
        <f>'淘系'!J39+'抖音'!J39+PDD!J39+'得物'!J39+'京东自营财经口径'!J39+'京东POP财经口径'!J39+'视频号+官网+小程序'!J39+'快手'!J39+'唯品会'!J39+'线下门店-直营'!J39+'线下门店-经销'!J39+'线下渠道'!J39+'淘系达播'!J39+'抖音达播'!J39</f>
      </c>
      <c r="K39" s="117">
        <f>'淘系'!K39+'抖音'!K39+PDD!K39+'得物'!K39+'京东自营财经口径'!K39+'京东POP财经口径'!K39+'视频号+官网+小程序'!K39+'快手'!K39+'唯品会'!K39+'线下门店-直营'!K39+'线下门店-经销'!K39+'线下渠道'!K39+'淘系达播'!K39+'抖音达播'!K39</f>
      </c>
      <c r="L39" s="117">
        <f>'淘系'!L39+'抖音'!L39+PDD!L39+'得物'!L39+'京东自营财经口径'!L39+'京东POP财经口径'!L39+'视频号+官网+小程序'!L39+'快手'!L39+'唯品会'!L39+'线下门店-直营'!L39+'线下门店-经销'!L39+'线下渠道'!L39+'淘系达播'!L39+'抖音达播'!L39</f>
      </c>
      <c r="M39" s="117">
        <f>'淘系'!M39+'抖音'!M39+PDD!M39+'得物'!M39+'京东自营财经口径'!M39+'京东POP财经口径'!M39+'视频号+官网+小程序'!M39+'快手'!M39+'唯品会'!M39+'线下门店-直营'!M39+'线下门店-经销'!M39+'线下渠道'!M39+'淘系达播'!M39+'抖音达播'!M39</f>
      </c>
      <c r="N39" s="117">
        <f>'淘系'!N39+'抖音'!N39+PDD!N39+'得物'!N39+'京东自营财经口径'!N39+'京东POP财经口径'!N39+'视频号+官网+小程序'!N39+'快手'!N39+'唯品会'!N39+'线下门店-直营'!N39+'线下门店-经销'!N39+'线下渠道'!N39+'淘系达播'!N39+'抖音达播'!N39</f>
      </c>
      <c r="O39" s="117">
        <f>SUM(C39:N39)</f>
      </c>
      <c r="P39" s="120">
        <f>O39/$O$16</f>
      </c>
      <c r="Q39" s="1" t="str">
        <v>投放填写</v>
      </c>
      <c r="S39" s="15"/>
      <c r="T39" s="119">
        <f>O39-'淘系'!O39-'淘系达播'!O39-'抖音'!O39-'抖音达播'!O39-'快手'!O39-'京东POP财经口径'!O39-'京东自营财经口径'!O39-PDD!O39-'得物'!O39-'视频号+官网+小程序'!O39-'唯品会'!O39-'线下门店-直营'!O39-'线下门店-经销'!O39-'线下渠道'!O39</f>
      </c>
      <c r="U39" s="70"/>
      <c r="V39" s="70"/>
    </row>
    <row collapsed="true" r="40">
      <c r="A40" s="118"/>
      <c r="B40" s="117" t="str">
        <v>站外投放</v>
      </c>
      <c r="C40" s="117">
        <f>'淘系'!C40+'抖音'!C40+PDD!C40+'得物'!C40+'京东自营财经口径'!C40+'京东POP财经口径'!C40+'视频号+官网+小程序'!C40+'快手'!C40+'唯品会'!C40+'线下门店-直营'!C40+'线下门店-经销'!C40+'线下渠道'!C40+'淘系达播'!C40+'抖音达播'!C40</f>
      </c>
      <c r="D40" s="117">
        <f>'淘系'!D40+'抖音'!D40+PDD!D40+'得物'!D40+'京东自营财经口径'!D40+'京东POP财经口径'!D40+'视频号+官网+小程序'!D40+'快手'!D40+'唯品会'!D40+'线下门店-直营'!D40+'线下门店-经销'!D40+'线下渠道'!D40+'淘系达播'!D40+'抖音达播'!D40</f>
      </c>
      <c r="E40" s="117">
        <f>'淘系'!E40+'抖音'!E40+PDD!E40+'得物'!E40+'京东自营财经口径'!E40+'京东POP财经口径'!E40+'视频号+官网+小程序'!E40+'快手'!E40+'唯品会'!E40+'线下门店-直营'!E40+'线下门店-经销'!E40+'线下渠道'!E40+'淘系达播'!E40+'抖音达播'!E40</f>
      </c>
      <c r="F40" s="117">
        <f>'淘系'!F40+'抖音'!F40+PDD!F40+'得物'!F40+'京东自营财经口径'!F40+'京东POP财经口径'!F40+'视频号+官网+小程序'!F40+'快手'!F40+'唯品会'!F40+'线下门店-直营'!F40+'线下门店-经销'!F40+'线下渠道'!F40+'淘系达播'!F40+'抖音达播'!F40</f>
      </c>
      <c r="G40" s="117">
        <f>'淘系'!G40+'抖音'!G40+PDD!G40+'得物'!G40+'京东自营财经口径'!G40+'京东POP财经口径'!G40+'视频号+官网+小程序'!G40+'快手'!G40+'唯品会'!G40+'线下门店-直营'!G40+'线下门店-经销'!G40+'线下渠道'!G40+'淘系达播'!G40+'抖音达播'!G40</f>
      </c>
      <c r="H40" s="117">
        <f>'淘系'!H40+'抖音'!H40+PDD!H40+'得物'!H40+'京东自营财经口径'!H40+'京东POP财经口径'!H40+'视频号+官网+小程序'!H40+'快手'!H40+'唯品会'!H40+'线下门店-直营'!H40+'线下门店-经销'!H40+'线下渠道'!H40+'淘系达播'!H40+'抖音达播'!H40</f>
      </c>
      <c r="I40" s="117">
        <f>'淘系'!I40+'抖音'!I40+PDD!I40+'得物'!I40+'京东自营财经口径'!I40+'京东POP财经口径'!I40+'视频号+官网+小程序'!I40+'快手'!I40+'唯品会'!I40+'线下门店-直营'!I40+'线下门店-经销'!I40+'线下渠道'!I40+'淘系达播'!I40+'抖音达播'!I40</f>
      </c>
      <c r="J40" s="117">
        <f>'淘系'!J40+'抖音'!J40+PDD!J40+'得物'!J40+'京东自营财经口径'!J40+'京东POP财经口径'!J40+'视频号+官网+小程序'!J40+'快手'!J40+'唯品会'!J40+'线下门店-直营'!J40+'线下门店-经销'!J40+'线下渠道'!J40+'淘系达播'!J40+'抖音达播'!J40</f>
      </c>
      <c r="K40" s="117">
        <f>'淘系'!K40+'抖音'!K40+PDD!K40+'得物'!K40+'京东自营财经口径'!K40+'京东POP财经口径'!K40+'视频号+官网+小程序'!K40+'快手'!K40+'唯品会'!K40+'线下门店-直营'!K40+'线下门店-经销'!K40+'线下渠道'!K40+'淘系达播'!K40+'抖音达播'!K40</f>
      </c>
      <c r="L40" s="117">
        <f>'淘系'!L40+'抖音'!L40+PDD!L40+'得物'!L40+'京东自营财经口径'!L40+'京东POP财经口径'!L40+'视频号+官网+小程序'!L40+'快手'!L40+'唯品会'!L40+'线下门店-直营'!L40+'线下门店-经销'!L40+'线下渠道'!L40+'淘系达播'!L40+'抖音达播'!L40</f>
      </c>
      <c r="M40" s="117">
        <f>'淘系'!M40+'抖音'!M40+PDD!M40+'得物'!M40+'京东自营财经口径'!M40+'京东POP财经口径'!M40+'视频号+官网+小程序'!M40+'快手'!M40+'唯品会'!M40+'线下门店-直营'!M40+'线下门店-经销'!M40+'线下渠道'!M40+'淘系达播'!M40+'抖音达播'!M40</f>
      </c>
      <c r="N40" s="117">
        <f>'淘系'!N40+'抖音'!N40+PDD!N40+'得物'!N40+'京东自营财经口径'!N40+'京东POP财经口径'!N40+'视频号+官网+小程序'!N40+'快手'!N40+'唯品会'!N40+'线下门店-直营'!N40+'线下门店-经销'!N40+'线下渠道'!N40+'淘系达播'!N40+'抖音达播'!N40</f>
      </c>
      <c r="O40" s="117">
        <f>SUM(C40:N40)</f>
      </c>
      <c r="P40" s="120">
        <f>O40/$O$16</f>
      </c>
      <c r="Q40" s="1" t="str">
        <v>投放填写</v>
      </c>
      <c r="T40" s="119">
        <f>O40-'淘系'!O40-'淘系达播'!O40-'抖音'!O40-'抖音达播'!O40-'快手'!O40-'京东POP财经口径'!O40-'京东自营财经口径'!O40-PDD!O40-'得物'!O40-'视频号+官网+小程序'!O40-'唯品会'!O40-'线下门店-直营'!O40-'线下门店-经销'!O40-'线下渠道'!O40</f>
      </c>
      <c r="U40" s="70"/>
      <c r="V40" s="70"/>
    </row>
    <row hidden="true" outlineLevel="1" r="41">
      <c r="A41" s="118"/>
      <c r="B41" s="117" t="str">
        <v>站内投放（费率）</v>
      </c>
      <c r="C41" s="117">
        <f>C38/C$16</f>
      </c>
      <c r="D41" s="117">
        <f>D38/D$16</f>
      </c>
      <c r="E41" s="117">
        <f>E38/E$16</f>
      </c>
      <c r="F41" s="117">
        <f>F38/F$16</f>
      </c>
      <c r="G41" s="117">
        <f>G38/G$16</f>
      </c>
      <c r="H41" s="117">
        <f>H38/H$16</f>
      </c>
      <c r="I41" s="117">
        <f>I38/I$16</f>
      </c>
      <c r="J41" s="117">
        <f>J38/J$16</f>
      </c>
      <c r="K41" s="117">
        <f>K38/K$16</f>
      </c>
      <c r="L41" s="117">
        <f>L38/L$16</f>
      </c>
      <c r="M41" s="117">
        <f>M38/M$16</f>
      </c>
      <c r="N41" s="117">
        <f>N38/N$16</f>
      </c>
      <c r="O41" s="117">
        <f>O38/$O$16</f>
      </c>
      <c r="P41" s="120"/>
      <c r="Q41" s="1" t="str">
        <v>投放填写</v>
      </c>
      <c r="T41" s="119">
        <f>O41-'淘系'!O41-'淘系达播'!O41-'抖音'!O41-'抖音达播'!O41-'快手'!O41-'京东POP财经口径'!O41-'京东自营财经口径'!O41-PDD!O41-'得物'!O41-'视频号+官网+小程序'!O41-'唯品会'!O41-'线下门店-直营'!O41-'线下门店-经销'!O41-'线下渠道'!O41</f>
      </c>
    </row>
    <row hidden="true" outlineLevel="1" r="42">
      <c r="A42" s="118"/>
      <c r="B42" s="117" t="str">
        <v>千川投放（费率）</v>
      </c>
      <c r="C42" s="117">
        <f>C39/C$16</f>
      </c>
      <c r="D42" s="117">
        <f>D39/D$16</f>
      </c>
      <c r="E42" s="117">
        <f>E39/E$16</f>
      </c>
      <c r="F42" s="117">
        <f>F39/F$16</f>
      </c>
      <c r="G42" s="117">
        <f>G39/G$16</f>
      </c>
      <c r="H42" s="117">
        <f>H39/H$16</f>
      </c>
      <c r="I42" s="117">
        <f>I39/I$16</f>
      </c>
      <c r="J42" s="117">
        <f>J39/J$16</f>
      </c>
      <c r="K42" s="117">
        <f>K39/K$16</f>
      </c>
      <c r="L42" s="117">
        <f>L39/L$16</f>
      </c>
      <c r="M42" s="117">
        <f>M39/M$16</f>
      </c>
      <c r="N42" s="117">
        <f>N39/N$16</f>
      </c>
      <c r="O42" s="117">
        <f>O39/$O$16</f>
      </c>
      <c r="P42" s="120"/>
      <c r="Q42" s="1" t="str">
        <v>投放填写</v>
      </c>
      <c r="T42" s="119">
        <f>O42-'淘系'!O42-'淘系达播'!O42-'抖音'!O42-'抖音达播'!O42-'快手'!O42-'京东POP财经口径'!O42-'京东自营财经口径'!O42-PDD!O42-'得物'!O42-'视频号+官网+小程序'!O42-'唯品会'!O42-'线下门店-直营'!O42-'线下门店-经销'!O42-'线下渠道'!O42</f>
      </c>
    </row>
    <row hidden="true" outlineLevel="1" r="43">
      <c r="A43" s="118"/>
      <c r="B43" s="117" t="str">
        <v>站外投放（费率）</v>
      </c>
      <c r="C43" s="117">
        <f>C40/C$16</f>
      </c>
      <c r="D43" s="117">
        <f>D40/D$16</f>
      </c>
      <c r="E43" s="117">
        <f>E40/E$16</f>
      </c>
      <c r="F43" s="117">
        <f>F40/F$16</f>
      </c>
      <c r="G43" s="117">
        <f>G40/G$16</f>
      </c>
      <c r="H43" s="117">
        <f>H40/H$16</f>
      </c>
      <c r="I43" s="117">
        <f>I40/I$16</f>
      </c>
      <c r="J43" s="117">
        <f>J40/J$16</f>
      </c>
      <c r="K43" s="117">
        <f>K40/K$16</f>
      </c>
      <c r="L43" s="117">
        <f>L40/L$16</f>
      </c>
      <c r="M43" s="117">
        <f>M40/M$16</f>
      </c>
      <c r="N43" s="117">
        <f>N40/N$16</f>
      </c>
      <c r="O43" s="117">
        <f>O40/$O$16</f>
      </c>
      <c r="P43" s="120"/>
      <c r="Q43" s="1" t="str">
        <v>投放填写</v>
      </c>
      <c r="T43" s="119">
        <f>O43-'淘系'!O43-'淘系达播'!O43-'抖音'!O43-'抖音达播'!O43-'快手'!O43-'京东POP财经口径'!O43-'京东自营财经口径'!O43-PDD!O43-'得物'!O43-'视频号+官网+小程序'!O43-'唯品会'!O43-'线下门店-直营'!O43-'线下门店-经销'!O43-'线下渠道'!O43</f>
      </c>
    </row>
    <row r="44">
      <c r="A44" s="1"/>
      <c r="B44" s="129" t="str">
        <v>线上营销费用</v>
      </c>
      <c r="C44" s="129">
        <f>SUM(C45:C46)</f>
      </c>
      <c r="D44" s="129">
        <f>SUM(D45:D46)</f>
      </c>
      <c r="E44" s="129">
        <f>SUM(E45:E46)</f>
      </c>
      <c r="F44" s="129">
        <f>SUM(F45:F46)</f>
      </c>
      <c r="G44" s="129">
        <f>SUM(G45:G46)</f>
      </c>
      <c r="H44" s="129">
        <f>SUM(H45:H46)</f>
      </c>
      <c r="I44" s="129">
        <f>SUM(I45:I46)</f>
      </c>
      <c r="J44" s="129">
        <f>SUM(J45:J46)</f>
      </c>
      <c r="K44" s="129">
        <f>SUM(K45:K46)</f>
      </c>
      <c r="L44" s="129">
        <f>SUM(L45:L46)</f>
      </c>
      <c r="M44" s="129">
        <f>SUM(M45:M46)</f>
      </c>
      <c r="N44" s="129">
        <f>SUM(N45:N46)</f>
      </c>
      <c r="O44" s="129">
        <f>SUM(C44:N44)</f>
      </c>
      <c r="P44" s="128">
        <f>O44/$O$16</f>
      </c>
      <c r="Q44" s="1"/>
      <c r="T44" s="119">
        <f>O44-'淘系'!O44-'淘系达播'!O44-'抖音'!O44-'抖音达播'!O44-'快手'!O44-'京东POP财经口径'!O44-'京东自营财经口径'!O44-PDD!O44-'得物'!O44-'视频号+官网+小程序'!O44-'唯品会'!O44-'线下门店-直营'!O44-'线下门店-经销'!O44-'线下渠道'!O44</f>
      </c>
    </row>
    <row r="45">
      <c r="A45" s="118"/>
      <c r="B45" s="117" t="str">
        <v>直播费用</v>
      </c>
      <c r="C45" s="117">
        <f>'淘系'!C45+'抖音'!C45+PDD!C45+'得物'!C45+'京东自营财经口径'!C45+'京东POP财经口径'!C45+'视频号+官网+小程序'!C45+'快手'!C45+'唯品会'!C45+'线下门店-直营'!C45+'线下门店-经销'!C45+'线下渠道'!C45+'淘系达播'!C45+'抖音达播'!C45</f>
      </c>
      <c r="D45" s="117">
        <f>'淘系'!D45+'抖音'!D45+PDD!D45+'得物'!D45+'京东自营财经口径'!D45+'京东POP财经口径'!D45+'视频号+官网+小程序'!D45+'快手'!D45+'唯品会'!D45+'线下门店-直营'!D45+'线下门店-经销'!D45+'线下渠道'!D45+'淘系达播'!D45+'抖音达播'!D45</f>
      </c>
      <c r="E45" s="117">
        <f>'淘系'!E45+'抖音'!E45+PDD!E45+'得物'!E45+'京东自营财经口径'!E45+'京东POP财经口径'!E45+'视频号+官网+小程序'!E45+'快手'!E45+'唯品会'!E45+'线下门店-直营'!E45+'线下门店-经销'!E45+'线下渠道'!E45+'淘系达播'!E45+'抖音达播'!E45</f>
      </c>
      <c r="F45" s="117">
        <f>'淘系'!F45+'抖音'!F45+PDD!F45+'得物'!F45+'京东自营财经口径'!F45+'京东POP财经口径'!F45+'视频号+官网+小程序'!F45+'快手'!F45+'唯品会'!F45+'线下门店-直营'!F45+'线下门店-经销'!F45+'线下渠道'!F45+'淘系达播'!F45+'抖音达播'!F45</f>
      </c>
      <c r="G45" s="117">
        <f>'淘系'!G45+'抖音'!G45+PDD!G45+'得物'!G45+'京东自营财经口径'!G45+'京东POP财经口径'!G45+'视频号+官网+小程序'!G45+'快手'!G45+'唯品会'!G45+'线下门店-直营'!G45+'线下门店-经销'!G45+'线下渠道'!G45+'淘系达播'!G45+'抖音达播'!G45</f>
      </c>
      <c r="H45" s="117">
        <f>'淘系'!H45+'抖音'!H45+PDD!H45+'得物'!H45+'京东自营财经口径'!H45+'京东POP财经口径'!H45+'视频号+官网+小程序'!H45+'快手'!H45+'唯品会'!H45+'线下门店-直营'!H45+'线下门店-经销'!H45+'线下渠道'!H45+'淘系达播'!H45+'抖音达播'!H45</f>
      </c>
      <c r="I45" s="117">
        <f>'淘系'!I45+'抖音'!I45+PDD!I45+'得物'!I45+'京东自营财经口径'!I45+'京东POP财经口径'!I45+'视频号+官网+小程序'!I45+'快手'!I45+'唯品会'!I45+'线下门店-直营'!I45+'线下门店-经销'!I45+'线下渠道'!I45+'淘系达播'!I45+'抖音达播'!I45</f>
      </c>
      <c r="J45" s="117">
        <f>'淘系'!J45+'抖音'!J45+PDD!J45+'得物'!J45+'京东自营财经口径'!J45+'京东POP财经口径'!J45+'视频号+官网+小程序'!J45+'快手'!J45+'唯品会'!J45+'线下门店-直营'!J45+'线下门店-经销'!J45+'线下渠道'!J45+'淘系达播'!J45+'抖音达播'!J45</f>
      </c>
      <c r="K45" s="117">
        <f>'淘系'!K45+'抖音'!K45+PDD!K45+'得物'!K45+'京东自营财经口径'!K45+'京东POP财经口径'!K45+'视频号+官网+小程序'!K45+'快手'!K45+'唯品会'!K45+'线下门店-直营'!K45+'线下门店-经销'!K45+'线下渠道'!K45+'淘系达播'!K45+'抖音达播'!K45</f>
      </c>
      <c r="L45" s="117">
        <f>'淘系'!L45+'抖音'!L45+PDD!L45+'得物'!L45+'京东自营财经口径'!L45+'京东POP财经口径'!L45+'视频号+官网+小程序'!L45+'快手'!L45+'唯品会'!L45+'线下门店-直营'!L45+'线下门店-经销'!L45+'线下渠道'!L45+'淘系达播'!L45+'抖音达播'!L45</f>
      </c>
      <c r="M45" s="117">
        <f>'淘系'!M45+'抖音'!M45+PDD!M45+'得物'!M45+'京东自营财经口径'!M45+'京东POP财经口径'!M45+'视频号+官网+小程序'!M45+'快手'!M45+'唯品会'!M45+'线下门店-直营'!M45+'线下门店-经销'!M45+'线下渠道'!M45+'淘系达播'!M45+'抖音达播'!M45</f>
      </c>
      <c r="N45" s="117">
        <f>'淘系'!N45+'抖音'!N45+PDD!N45+'得物'!N45+'京东自营财经口径'!N45+'京东POP财经口径'!N45+'视频号+官网+小程序'!N45+'快手'!N45+'唯品会'!N45+'线下门店-直营'!N45+'线下门店-经销'!N45+'线下渠道'!N45+'淘系达播'!N45+'抖音达播'!N45</f>
      </c>
      <c r="O45" s="117">
        <f>SUM(C45:N45)</f>
      </c>
      <c r="P45" s="120">
        <f>O45/$O$16</f>
      </c>
      <c r="Q45" s="1" t="str">
        <v>达人填写</v>
      </c>
      <c r="T45" s="119">
        <f>O45-'淘系'!O45-'淘系达播'!O45-'抖音'!O45-'抖音达播'!O45-'快手'!O45-'京东POP财经口径'!O45-'京东自营财经口径'!O45-PDD!O45-'得物'!O45-'视频号+官网+小程序'!O45-'唯品会'!O45-'线下门店-直营'!O45-'线下门店-经销'!O45-'线下渠道'!O45</f>
      </c>
    </row>
    <row r="46">
      <c r="A46" s="118"/>
      <c r="B46" s="117" t="str">
        <v>赠品费用</v>
      </c>
      <c r="C46" s="117">
        <f>'淘系'!C46+'抖音'!C46+PDD!C46+'得物'!C46+'京东自营财经口径'!C46+'京东POP财经口径'!C46+'视频号+官网+小程序'!C46+'快手'!C46+'唯品会'!C46+'线下门店-直营'!C46+'线下门店-经销'!C46+'线下渠道'!C46+'淘系达播'!C46+'抖音达播'!C46</f>
      </c>
      <c r="D46" s="117">
        <f>'淘系'!D46+'抖音'!D46+PDD!D46+'得物'!D46+'京东自营财经口径'!D46+'京东POP财经口径'!D46+'视频号+官网+小程序'!D46+'快手'!D46+'唯品会'!D46+'线下门店-直营'!D46+'线下门店-经销'!D46+'线下渠道'!D46+'淘系达播'!D46+'抖音达播'!D46</f>
      </c>
      <c r="E46" s="117">
        <f>'淘系'!E46+'抖音'!E46+PDD!E46+'得物'!E46+'京东自营财经口径'!E46+'京东POP财经口径'!E46+'视频号+官网+小程序'!E46+'快手'!E46+'唯品会'!E46+'线下门店-直营'!E46+'线下门店-经销'!E46+'线下渠道'!E46+'淘系达播'!E46+'抖音达播'!E46</f>
      </c>
      <c r="F46" s="117">
        <f>'淘系'!F46+'抖音'!F46+PDD!F46+'得物'!F46+'京东自营财经口径'!F46+'京东POP财经口径'!F46+'视频号+官网+小程序'!F46+'快手'!F46+'唯品会'!F46+'线下门店-直营'!F46+'线下门店-经销'!F46+'线下渠道'!F46+'淘系达播'!F46+'抖音达播'!F46</f>
      </c>
      <c r="G46" s="117">
        <f>'淘系'!G46+'抖音'!G46+PDD!G46+'得物'!G46+'京东自营财经口径'!G46+'京东POP财经口径'!G46+'视频号+官网+小程序'!G46+'快手'!G46+'唯品会'!G46+'线下门店-直营'!G46+'线下门店-经销'!G46+'线下渠道'!G46+'淘系达播'!G46+'抖音达播'!G46</f>
      </c>
      <c r="H46" s="117">
        <f>'淘系'!H46+'抖音'!H46+PDD!H46+'得物'!H46+'京东自营财经口径'!H46+'京东POP财经口径'!H46+'视频号+官网+小程序'!H46+'快手'!H46+'唯品会'!H46+'线下门店-直营'!H46+'线下门店-经销'!H46+'线下渠道'!H46+'淘系达播'!H46+'抖音达播'!H46</f>
      </c>
      <c r="I46" s="117">
        <f>'淘系'!I46+'抖音'!I46+PDD!I46+'得物'!I46+'京东自营财经口径'!I46+'京东POP财经口径'!I46+'视频号+官网+小程序'!I46+'快手'!I46+'唯品会'!I46+'线下门店-直营'!I46+'线下门店-经销'!I46+'线下渠道'!I46+'淘系达播'!I46+'抖音达播'!I46</f>
      </c>
      <c r="J46" s="117">
        <f>'淘系'!J46+'抖音'!J46+PDD!J46+'得物'!J46+'京东自营财经口径'!J46+'京东POP财经口径'!J46+'视频号+官网+小程序'!J46+'快手'!J46+'唯品会'!J46+'线下门店-直营'!J46+'线下门店-经销'!J46+'线下渠道'!J46+'淘系达播'!J46+'抖音达播'!J46</f>
      </c>
      <c r="K46" s="117">
        <f>'淘系'!K46+'抖音'!K46+PDD!K46+'得物'!K46+'京东自营财经口径'!K46+'京东POP财经口径'!K46+'视频号+官网+小程序'!K46+'快手'!K46+'唯品会'!K46+'线下门店-直营'!K46+'线下门店-经销'!K46+'线下渠道'!K46+'淘系达播'!K46+'抖音达播'!K46</f>
      </c>
      <c r="L46" s="117">
        <f>'淘系'!L46+'抖音'!L46+PDD!L46+'得物'!L46+'京东自营财经口径'!L46+'京东POP财经口径'!L46+'视频号+官网+小程序'!L46+'快手'!L46+'唯品会'!L46+'线下门店-直营'!L46+'线下门店-经销'!L46+'线下渠道'!L46+'淘系达播'!L46+'抖音达播'!L46</f>
      </c>
      <c r="M46" s="117">
        <f>'淘系'!M46+'抖音'!M46+PDD!M46+'得物'!M46+'京东自营财经口径'!M46+'京东POP财经口径'!M46+'视频号+官网+小程序'!M46+'快手'!M46+'唯品会'!M46+'线下门店-直营'!M46+'线下门店-经销'!M46+'线下渠道'!M46+'淘系达播'!M46+'抖音达播'!M46</f>
      </c>
      <c r="N46" s="117">
        <f>'淘系'!N46+'抖音'!N46+PDD!N46+'得物'!N46+'京东自营财经口径'!N46+'京东POP财经口径'!N46+'视频号+官网+小程序'!N46+'快手'!N46+'唯品会'!N46+'线下门店-直营'!N46+'线下门店-经销'!N46+'线下渠道'!N46+'淘系达播'!N46+'抖音达播'!N46</f>
      </c>
      <c r="O46" s="117">
        <f>SUM(C46:N46)</f>
      </c>
      <c r="P46" s="120">
        <f>O46/$O$16</f>
      </c>
      <c r="Q46" s="90" t="str">
        <v>渠道填写</v>
      </c>
      <c r="T46" s="119">
        <f>O46-'淘系'!O46-'淘系达播'!O46-'抖音'!O46-'抖音达播'!O46-'快手'!O46-'京东POP财经口径'!O46-'京东自营财经口径'!O46-PDD!O46-'得物'!O46-'视频号+官网+小程序'!O46-'唯品会'!O46-'线下门店-直营'!O46-'线下门店-经销'!O46-'线下渠道'!O46</f>
      </c>
    </row>
    <row r="47">
      <c r="A47" s="1"/>
      <c r="B47" s="129" t="str">
        <v>线下市场费用</v>
      </c>
      <c r="C47" s="129">
        <f>SUM(C48:C51)</f>
      </c>
      <c r="D47" s="129">
        <f>SUM(D48:D51)</f>
      </c>
      <c r="E47" s="129">
        <f>SUM(E48:E51)</f>
      </c>
      <c r="F47" s="129">
        <f>SUM(F48:F51)</f>
      </c>
      <c r="G47" s="129">
        <f>SUM(G48:G51)</f>
      </c>
      <c r="H47" s="129">
        <f>SUM(H48:H51)</f>
      </c>
      <c r="I47" s="129">
        <f>SUM(I48:I51)</f>
      </c>
      <c r="J47" s="129">
        <f>SUM(J48:J51)</f>
      </c>
      <c r="K47" s="129">
        <f>SUM(K48:K51)</f>
      </c>
      <c r="L47" s="129">
        <f>SUM(L48:L51)</f>
      </c>
      <c r="M47" s="129">
        <f>SUM(M48:M51)</f>
      </c>
      <c r="N47" s="129">
        <f>SUM(N48:N51)</f>
      </c>
      <c r="O47" s="129">
        <f>SUM(C47:N47)</f>
      </c>
      <c r="P47" s="128">
        <f>O47/$O$16</f>
      </c>
      <c r="Q47" s="1"/>
      <c r="T47" s="119">
        <f>O47-'淘系'!O47-'淘系达播'!O47-'抖音'!O47-'抖音达播'!O47-'快手'!O47-'京东POP财经口径'!O47-'京东自营财经口径'!O47-PDD!O47-'得物'!O47-'视频号+官网+小程序'!O47-'唯品会'!O47-'线下门店-直营'!O47-'线下门店-经销'!O47-'线下渠道'!O47</f>
      </c>
    </row>
    <row r="48">
      <c r="A48" s="118"/>
      <c r="B48" s="117" t="str">
        <v>线下渠道展陈、促销费用</v>
      </c>
      <c r="C48" s="117">
        <f>'淘系'!C48+'抖音'!C48+PDD!C48+'得物'!C48+'京东自营财经口径'!C48+'京东POP财经口径'!C48+'视频号+官网+小程序'!C48+'快手'!C48+'唯品会'!C48+'线下门店-直营'!C48+'线下门店-经销'!C48+'线下渠道'!C48+'淘系达播'!C48+'抖音达播'!C48</f>
      </c>
      <c r="D48" s="117">
        <f>'淘系'!D48+'抖音'!D48+PDD!D48+'得物'!D48+'京东自营财经口径'!D48+'京东POP财经口径'!D48+'视频号+官网+小程序'!D48+'快手'!D48+'唯品会'!D48+'线下门店-直营'!D48+'线下门店-经销'!D48+'线下渠道'!D48+'淘系达播'!D48+'抖音达播'!D48</f>
      </c>
      <c r="E48" s="117">
        <f>'淘系'!E48+'抖音'!E48+PDD!E48+'得物'!E48+'京东自营财经口径'!E48+'京东POP财经口径'!E48+'视频号+官网+小程序'!E48+'快手'!E48+'唯品会'!E48+'线下门店-直营'!E48+'线下门店-经销'!E48+'线下渠道'!E48+'淘系达播'!E48+'抖音达播'!E48</f>
      </c>
      <c r="F48" s="117">
        <f>'淘系'!F48+'抖音'!F48+PDD!F48+'得物'!F48+'京东自营财经口径'!F48+'京东POP财经口径'!F48+'视频号+官网+小程序'!F48+'快手'!F48+'唯品会'!F48+'线下门店-直营'!F48+'线下门店-经销'!F48+'线下渠道'!F48+'淘系达播'!F48+'抖音达播'!F48</f>
      </c>
      <c r="G48" s="117">
        <f>'淘系'!G48+'抖音'!G48+PDD!G48+'得物'!G48+'京东自营财经口径'!G48+'京东POP财经口径'!G48+'视频号+官网+小程序'!G48+'快手'!G48+'唯品会'!G48+'线下门店-直营'!G48+'线下门店-经销'!G48+'线下渠道'!G48+'淘系达播'!G48+'抖音达播'!G48</f>
      </c>
      <c r="H48" s="117">
        <f>'淘系'!H48+'抖音'!H48+PDD!H48+'得物'!H48+'京东自营财经口径'!H48+'京东POP财经口径'!H48+'视频号+官网+小程序'!H48+'快手'!H48+'唯品会'!H48+'线下门店-直营'!H48+'线下门店-经销'!H48+'线下渠道'!H48+'淘系达播'!H48+'抖音达播'!H48</f>
      </c>
      <c r="I48" s="117">
        <f>'淘系'!I48+'抖音'!I48+PDD!I48+'得物'!I48+'京东自营财经口径'!I48+'京东POP财经口径'!I48+'视频号+官网+小程序'!I48+'快手'!I48+'唯品会'!I48+'线下门店-直营'!I48+'线下门店-经销'!I48+'线下渠道'!I48+'淘系达播'!I48+'抖音达播'!I48</f>
      </c>
      <c r="J48" s="117">
        <f>'淘系'!J48+'抖音'!J48+PDD!J48+'得物'!J48+'京东自营财经口径'!J48+'京东POP财经口径'!J48+'视频号+官网+小程序'!J48+'快手'!J48+'唯品会'!J48+'线下门店-直营'!J48+'线下门店-经销'!J48+'线下渠道'!J48+'淘系达播'!J48+'抖音达播'!J48</f>
      </c>
      <c r="K48" s="117">
        <f>'淘系'!K48+'抖音'!K48+PDD!K48+'得物'!K48+'京东自营财经口径'!K48+'京东POP财经口径'!K48+'视频号+官网+小程序'!K48+'快手'!K48+'唯品会'!K48+'线下门店-直营'!K48+'线下门店-经销'!K48+'线下渠道'!K48+'淘系达播'!K48+'抖音达播'!K48</f>
      </c>
      <c r="L48" s="117">
        <f>'淘系'!L48+'抖音'!L48+PDD!L48+'得物'!L48+'京东自营财经口径'!L48+'京东POP财经口径'!L48+'视频号+官网+小程序'!L48+'快手'!L48+'唯品会'!L48+'线下门店-直营'!L48+'线下门店-经销'!L48+'线下渠道'!L48+'淘系达播'!L48+'抖音达播'!L48</f>
      </c>
      <c r="M48" s="117">
        <f>'淘系'!M48+'抖音'!M48+PDD!M48+'得物'!M48+'京东自营财经口径'!M48+'京东POP财经口径'!M48+'视频号+官网+小程序'!M48+'快手'!M48+'唯品会'!M48+'线下门店-直营'!M48+'线下门店-经销'!M48+'线下渠道'!M48+'淘系达播'!M48+'抖音达播'!M48</f>
      </c>
      <c r="N48" s="117">
        <f>'淘系'!N48+'抖音'!N48+PDD!N48+'得物'!N48+'京东自营财经口径'!N48+'京东POP财经口径'!N48+'视频号+官网+小程序'!N48+'快手'!N48+'唯品会'!N48+'线下门店-直营'!N48+'线下门店-经销'!N48+'线下渠道'!N48+'淘系达播'!N48+'抖音达播'!N48</f>
      </c>
      <c r="O48" s="117">
        <f>SUM(C48:N48)</f>
      </c>
      <c r="P48" s="120">
        <f>O48/$O$16</f>
      </c>
      <c r="Q48" s="90" t="str">
        <v>线下门店</v>
      </c>
      <c r="T48" s="119">
        <f>O48-'淘系'!O48-'淘系达播'!O48-'抖音'!O48-'抖音达播'!O48-'快手'!O48-'京东POP财经口径'!O48-'京东自营财经口径'!O48-PDD!O48-'得物'!O48-'视频号+官网+小程序'!O48-'唯品会'!O48-'线下门店-直营'!O48-'线下门店-经销'!O48-'线下渠道'!O48</f>
      </c>
    </row>
    <row r="49">
      <c r="A49" s="118"/>
      <c r="B49" s="117" t="str">
        <v>租金+物业+水电</v>
      </c>
      <c r="C49" s="117">
        <f>'淘系'!C49+'抖音'!C49+PDD!C49+'得物'!C49+'京东自营财经口径'!C49+'京东POP财经口径'!C49+'视频号+官网+小程序'!C49+'快手'!C49+'唯品会'!C49+'线下门店-直营'!C49+'线下门店-经销'!C49+'线下渠道'!C49+'淘系达播'!C49+'抖音达播'!C49</f>
      </c>
      <c r="D49" s="117">
        <f>'淘系'!D49+'抖音'!D49+PDD!D49+'得物'!D49+'京东自营财经口径'!D49+'京东POP财经口径'!D49+'视频号+官网+小程序'!D49+'快手'!D49+'唯品会'!D49+'线下门店-直营'!D49+'线下门店-经销'!D49+'线下渠道'!D49+'淘系达播'!D49+'抖音达播'!D49</f>
      </c>
      <c r="E49" s="117">
        <f>'淘系'!E49+'抖音'!E49+PDD!E49+'得物'!E49+'京东自营财经口径'!E49+'京东POP财经口径'!E49+'视频号+官网+小程序'!E49+'快手'!E49+'唯品会'!E49+'线下门店-直营'!E49+'线下门店-经销'!E49+'线下渠道'!E49+'淘系达播'!E49+'抖音达播'!E49</f>
      </c>
      <c r="F49" s="117">
        <f>'淘系'!F49+'抖音'!F49+PDD!F49+'得物'!F49+'京东自营财经口径'!F49+'京东POP财经口径'!F49+'视频号+官网+小程序'!F49+'快手'!F49+'唯品会'!F49+'线下门店-直营'!F49+'线下门店-经销'!F49+'线下渠道'!F49+'淘系达播'!F49+'抖音达播'!F49</f>
      </c>
      <c r="G49" s="117">
        <f>'淘系'!G49+'抖音'!G49+PDD!G49+'得物'!G49+'京东自营财经口径'!G49+'京东POP财经口径'!G49+'视频号+官网+小程序'!G49+'快手'!G49+'唯品会'!G49+'线下门店-直营'!G49+'线下门店-经销'!G49+'线下渠道'!G49+'淘系达播'!G49+'抖音达播'!G49</f>
      </c>
      <c r="H49" s="117">
        <f>'淘系'!H49+'抖音'!H49+PDD!H49+'得物'!H49+'京东自营财经口径'!H49+'京东POP财经口径'!H49+'视频号+官网+小程序'!H49+'快手'!H49+'唯品会'!H49+'线下门店-直营'!H49+'线下门店-经销'!H49+'线下渠道'!H49+'淘系达播'!H49+'抖音达播'!H49</f>
      </c>
      <c r="I49" s="117">
        <f>'淘系'!I49+'抖音'!I49+PDD!I49+'得物'!I49+'京东自营财经口径'!I49+'京东POP财经口径'!I49+'视频号+官网+小程序'!I49+'快手'!I49+'唯品会'!I49+'线下门店-直营'!I49+'线下门店-经销'!I49+'线下渠道'!I49+'淘系达播'!I49+'抖音达播'!I49</f>
      </c>
      <c r="J49" s="117">
        <f>'淘系'!J49+'抖音'!J49+PDD!J49+'得物'!J49+'京东自营财经口径'!J49+'京东POP财经口径'!J49+'视频号+官网+小程序'!J49+'快手'!J49+'唯品会'!J49+'线下门店-直营'!J49+'线下门店-经销'!J49+'线下渠道'!J49+'淘系达播'!J49+'抖音达播'!J49</f>
      </c>
      <c r="K49" s="117">
        <f>'淘系'!K49+'抖音'!K49+PDD!K49+'得物'!K49+'京东自营财经口径'!K49+'京东POP财经口径'!K49+'视频号+官网+小程序'!K49+'快手'!K49+'唯品会'!K49+'线下门店-直营'!K49+'线下门店-经销'!K49+'线下渠道'!K49+'淘系达播'!K49+'抖音达播'!K49</f>
      </c>
      <c r="L49" s="117">
        <f>'淘系'!L49+'抖音'!L49+PDD!L49+'得物'!L49+'京东自营财经口径'!L49+'京东POP财经口径'!L49+'视频号+官网+小程序'!L49+'快手'!L49+'唯品会'!L49+'线下门店-直营'!L49+'线下门店-经销'!L49+'线下渠道'!L49+'淘系达播'!L49+'抖音达播'!L49</f>
      </c>
      <c r="M49" s="117">
        <f>'淘系'!M49+'抖音'!M49+PDD!M49+'得物'!M49+'京东自营财经口径'!M49+'京东POP财经口径'!M49+'视频号+官网+小程序'!M49+'快手'!M49+'唯品会'!M49+'线下门店-直营'!M49+'线下门店-经销'!M49+'线下渠道'!M49+'淘系达播'!M49+'抖音达播'!M49</f>
      </c>
      <c r="N49" s="117">
        <f>'淘系'!N49+'抖音'!N49+PDD!N49+'得物'!N49+'京东自营财经口径'!N49+'京东POP财经口径'!N49+'视频号+官网+小程序'!N49+'快手'!N49+'唯品会'!N49+'线下门店-直营'!N49+'线下门店-经销'!N49+'线下渠道'!N49+'淘系达播'!N49+'抖音达播'!N49</f>
      </c>
      <c r="O49" s="117">
        <f>SUM(C49:N49)</f>
      </c>
      <c r="P49" s="120">
        <f>O49/$O$16</f>
      </c>
      <c r="Q49" s="90" t="str">
        <v>线下门店</v>
      </c>
      <c r="T49" s="119">
        <f>O49-'淘系'!O49-'淘系达播'!O49-'抖音'!O49-'抖音达播'!O49-'快手'!O49-'京东POP财经口径'!O49-'京东自营财经口径'!O49-PDD!O49-'得物'!O49-'视频号+官网+小程序'!O49-'唯品会'!O49-'线下门店-直营'!O49-'线下门店-经销'!O49-'线下渠道'!O49</f>
      </c>
    </row>
    <row r="50">
      <c r="A50" s="118"/>
      <c r="B50" s="117" t="str">
        <v>门店人工</v>
      </c>
      <c r="C50" s="117">
        <f>'淘系'!C50+'抖音'!C50+PDD!C50+'得物'!C50+'京东自营财经口径'!C50+'京东POP财经口径'!C50+'视频号+官网+小程序'!C50+'快手'!C50+'唯品会'!C50+'线下门店-直营'!C50+'线下门店-经销'!C50+'线下渠道'!C50+'淘系达播'!C50+'抖音达播'!C50</f>
      </c>
      <c r="D50" s="117">
        <f>'淘系'!D50+'抖音'!D50+PDD!D50+'得物'!D50+'京东自营财经口径'!D50+'京东POP财经口径'!D50+'视频号+官网+小程序'!D50+'快手'!D50+'唯品会'!D50+'线下门店-直营'!D50+'线下门店-经销'!D50+'线下渠道'!D50+'淘系达播'!D50+'抖音达播'!D50</f>
      </c>
      <c r="E50" s="117">
        <f>'淘系'!E50+'抖音'!E50+PDD!E50+'得物'!E50+'京东自营财经口径'!E50+'京东POP财经口径'!E50+'视频号+官网+小程序'!E50+'快手'!E50+'唯品会'!E50+'线下门店-直营'!E50+'线下门店-经销'!E50+'线下渠道'!E50+'淘系达播'!E50+'抖音达播'!E50</f>
      </c>
      <c r="F50" s="117">
        <f>'淘系'!F50+'抖音'!F50+PDD!F50+'得物'!F50+'京东自营财经口径'!F50+'京东POP财经口径'!F50+'视频号+官网+小程序'!F50+'快手'!F50+'唯品会'!F50+'线下门店-直营'!F50+'线下门店-经销'!F50+'线下渠道'!F50+'淘系达播'!F50+'抖音达播'!F50</f>
      </c>
      <c r="G50" s="117">
        <f>'淘系'!G50+'抖音'!G50+PDD!G50+'得物'!G50+'京东自营财经口径'!G50+'京东POP财经口径'!G50+'视频号+官网+小程序'!G50+'快手'!G50+'唯品会'!G50+'线下门店-直营'!G50+'线下门店-经销'!G50+'线下渠道'!G50+'淘系达播'!G50+'抖音达播'!G50</f>
      </c>
      <c r="H50" s="117">
        <f>'淘系'!H50+'抖音'!H50+PDD!H50+'得物'!H50+'京东自营财经口径'!H50+'京东POP财经口径'!H50+'视频号+官网+小程序'!H50+'快手'!H50+'唯品会'!H50+'线下门店-直营'!H50+'线下门店-经销'!H50+'线下渠道'!H50+'淘系达播'!H50+'抖音达播'!H50</f>
      </c>
      <c r="I50" s="117">
        <f>'淘系'!I50+'抖音'!I50+PDD!I50+'得物'!I50+'京东自营财经口径'!I50+'京东POP财经口径'!I50+'视频号+官网+小程序'!I50+'快手'!I50+'唯品会'!I50+'线下门店-直营'!I50+'线下门店-经销'!I50+'线下渠道'!I50+'淘系达播'!I50+'抖音达播'!I50</f>
      </c>
      <c r="J50" s="117">
        <f>'淘系'!J50+'抖音'!J50+PDD!J50+'得物'!J50+'京东自营财经口径'!J50+'京东POP财经口径'!J50+'视频号+官网+小程序'!J50+'快手'!J50+'唯品会'!J50+'线下门店-直营'!J50+'线下门店-经销'!J50+'线下渠道'!J50+'淘系达播'!J50+'抖音达播'!J50</f>
      </c>
      <c r="K50" s="117">
        <f>'淘系'!K50+'抖音'!K50+PDD!K50+'得物'!K50+'京东自营财经口径'!K50+'京东POP财经口径'!K50+'视频号+官网+小程序'!K50+'快手'!K50+'唯品会'!K50+'线下门店-直营'!K50+'线下门店-经销'!K50+'线下渠道'!K50+'淘系达播'!K50+'抖音达播'!K50</f>
      </c>
      <c r="L50" s="117">
        <f>'淘系'!L50+'抖音'!L50+PDD!L50+'得物'!L50+'京东自营财经口径'!L50+'京东POP财经口径'!L50+'视频号+官网+小程序'!L50+'快手'!L50+'唯品会'!L50+'线下门店-直营'!L50+'线下门店-经销'!L50+'线下渠道'!L50+'淘系达播'!L50+'抖音达播'!L50</f>
      </c>
      <c r="M50" s="117">
        <f>'淘系'!M50+'抖音'!M50+PDD!M50+'得物'!M50+'京东自营财经口径'!M50+'京东POP财经口径'!M50+'视频号+官网+小程序'!M50+'快手'!M50+'唯品会'!M50+'线下门店-直营'!M50+'线下门店-经销'!M50+'线下渠道'!M50+'淘系达播'!M50+'抖音达播'!M50</f>
      </c>
      <c r="N50" s="117">
        <f>'淘系'!N50+'抖音'!N50+PDD!N50+'得物'!N50+'京东自营财经口径'!N50+'京东POP财经口径'!N50+'视频号+官网+小程序'!N50+'快手'!N50+'唯品会'!N50+'线下门店-直营'!N50+'线下门店-经销'!N50+'线下渠道'!N50+'淘系达播'!N50+'抖音达播'!N50</f>
      </c>
      <c r="O50" s="117">
        <f>SUM(C50:N50)</f>
      </c>
      <c r="P50" s="120">
        <f>O50/$O$16</f>
      </c>
      <c r="Q50" s="90" t="str">
        <v>线下门店</v>
      </c>
      <c r="T50" s="119">
        <f>O50-'淘系'!O50-'淘系达播'!O50-'抖音'!O50-'抖音达播'!O50-'快手'!O50-'京东POP财经口径'!O50-'京东自营财经口径'!O50-PDD!O50-'得物'!O50-'视频号+官网+小程序'!O50-'唯品会'!O50-'线下门店-直营'!O50-'线下门店-经销'!O50-'线下渠道'!O50</f>
      </c>
    </row>
    <row r="51">
      <c r="A51" s="1"/>
      <c r="B51" s="117" t="str">
        <v>门店展陈装修等其他</v>
      </c>
      <c r="C51" s="117">
        <f>'淘系'!C51+'抖音'!C51+PDD!C51+'得物'!C51+'京东自营财经口径'!C51+'京东POP财经口径'!C51+'视频号+官网+小程序'!C51+'快手'!C51+'唯品会'!C51+'线下门店-直营'!C51+'线下门店-经销'!C51+'线下渠道'!C51+'淘系达播'!C51+'抖音达播'!C51</f>
      </c>
      <c r="D51" s="117">
        <f>'淘系'!D51+'抖音'!D51+PDD!D51+'得物'!D51+'京东自营财经口径'!D51+'京东POP财经口径'!D51+'视频号+官网+小程序'!D51+'快手'!D51+'唯品会'!D51+'线下门店-直营'!D51+'线下门店-经销'!D51+'线下渠道'!D51+'淘系达播'!D51+'抖音达播'!D51</f>
      </c>
      <c r="E51" s="117">
        <f>'淘系'!E51+'抖音'!E51+PDD!E51+'得物'!E51+'京东自营财经口径'!E51+'京东POP财经口径'!E51+'视频号+官网+小程序'!E51+'快手'!E51+'唯品会'!E51+'线下门店-直营'!E51+'线下门店-经销'!E51+'线下渠道'!E51+'淘系达播'!E51+'抖音达播'!E51</f>
      </c>
      <c r="F51" s="117">
        <f>'淘系'!F51+'抖音'!F51+PDD!F51+'得物'!F51+'京东自营财经口径'!F51+'京东POP财经口径'!F51+'视频号+官网+小程序'!F51+'快手'!F51+'唯品会'!F51+'线下门店-直营'!F51+'线下门店-经销'!F51+'线下渠道'!F51+'淘系达播'!F51+'抖音达播'!F51</f>
      </c>
      <c r="G51" s="117">
        <f>'淘系'!G51+'抖音'!G51+PDD!G51+'得物'!G51+'京东自营财经口径'!G51+'京东POP财经口径'!G51+'视频号+官网+小程序'!G51+'快手'!G51+'唯品会'!G51+'线下门店-直营'!G51+'线下门店-经销'!G51+'线下渠道'!G51+'淘系达播'!G51+'抖音达播'!G51</f>
      </c>
      <c r="H51" s="117">
        <f>'淘系'!H51+'抖音'!H51+PDD!H51+'得物'!H51+'京东自营财经口径'!H51+'京东POP财经口径'!H51+'视频号+官网+小程序'!H51+'快手'!H51+'唯品会'!H51+'线下门店-直营'!H51+'线下门店-经销'!H51+'线下渠道'!H51+'淘系达播'!H51+'抖音达播'!H51</f>
      </c>
      <c r="I51" s="117">
        <f>'淘系'!I51+'抖音'!I51+PDD!I51+'得物'!I51+'京东自营财经口径'!I51+'京东POP财经口径'!I51+'视频号+官网+小程序'!I51+'快手'!I51+'唯品会'!I51+'线下门店-直营'!I51+'线下门店-经销'!I51+'线下渠道'!I51+'淘系达播'!I51+'抖音达播'!I51</f>
      </c>
      <c r="J51" s="117">
        <f>'淘系'!J51+'抖音'!J51+PDD!J51+'得物'!J51+'京东自营财经口径'!J51+'京东POP财经口径'!J51+'视频号+官网+小程序'!J51+'快手'!J51+'唯品会'!J51+'线下门店-直营'!J51+'线下门店-经销'!J51+'线下渠道'!J51+'淘系达播'!J51+'抖音达播'!J51</f>
      </c>
      <c r="K51" s="117">
        <f>'淘系'!K51+'抖音'!K51+PDD!K51+'得物'!K51+'京东自营财经口径'!K51+'京东POP财经口径'!K51+'视频号+官网+小程序'!K51+'快手'!K51+'唯品会'!K51+'线下门店-直营'!K51+'线下门店-经销'!K51+'线下渠道'!K51+'淘系达播'!K51+'抖音达播'!K51</f>
      </c>
      <c r="L51" s="117">
        <f>'淘系'!L51+'抖音'!L51+PDD!L51+'得物'!L51+'京东自营财经口径'!L51+'京东POP财经口径'!L51+'视频号+官网+小程序'!L51+'快手'!L51+'唯品会'!L51+'线下门店-直营'!L51+'线下门店-经销'!L51+'线下渠道'!L51+'淘系达播'!L51+'抖音达播'!L51</f>
      </c>
      <c r="M51" s="117">
        <f>'淘系'!M51+'抖音'!M51+PDD!M51+'得物'!M51+'京东自营财经口径'!M51+'京东POP财经口径'!M51+'视频号+官网+小程序'!M51+'快手'!M51+'唯品会'!M51+'线下门店-直营'!M51+'线下门店-经销'!M51+'线下渠道'!M51+'淘系达播'!M51+'抖音达播'!M51</f>
      </c>
      <c r="N51" s="117">
        <f>'淘系'!N51+'抖音'!N51+PDD!N51+'得物'!N51+'京东自营财经口径'!N51+'京东POP财经口径'!N51+'视频号+官网+小程序'!N51+'快手'!N51+'唯品会'!N51+'线下门店-直营'!N51+'线下门店-经销'!N51+'线下渠道'!N51+'淘系达播'!N51+'抖音达播'!N51</f>
      </c>
      <c r="O51" s="117">
        <f>SUM(C51:N51)</f>
      </c>
      <c r="P51" s="120">
        <f>O51/$O$16</f>
      </c>
      <c r="Q51" s="90" t="str">
        <v>线下门店</v>
      </c>
      <c r="T51" s="119">
        <f>O51-'淘系'!O51-'淘系达播'!O51-'抖音'!O51-'抖音达播'!O51-'快手'!O51-'京东POP财经口径'!O51-'京东自营财经口径'!O51-PDD!O51-'得物'!O51-'视频号+官网+小程序'!O51-'唯品会'!O51-'线下门店-直营'!O51-'线下门店-经销'!O51-'线下渠道'!O51</f>
      </c>
    </row>
    <row r="52">
      <c r="A52" s="1"/>
      <c r="B52" s="163" t="str">
        <v>市场投入费用</v>
      </c>
      <c r="C52" s="163">
        <f>SUM(C26,C37,C44,C47)</f>
      </c>
      <c r="D52" s="163">
        <f>SUM(D26,D37,D44,D47)</f>
      </c>
      <c r="E52" s="163">
        <f>SUM(E26,E37,E44,E47)</f>
      </c>
      <c r="F52" s="163">
        <f>SUM(F26,F37,F44,F47)</f>
      </c>
      <c r="G52" s="163">
        <f>SUM(G26,G37,G44,G47)</f>
      </c>
      <c r="H52" s="163">
        <f>SUM(H26,H37,H44,H47)</f>
      </c>
      <c r="I52" s="163">
        <f>SUM(I26,I37,I44,I47)</f>
      </c>
      <c r="J52" s="163">
        <f>SUM(J26,J37,J44,J47)</f>
      </c>
      <c r="K52" s="163">
        <f>SUM(K26,K37,K44,K47)</f>
      </c>
      <c r="L52" s="163">
        <f>SUM(L26,L37,L44,L47)</f>
      </c>
      <c r="M52" s="163">
        <f>SUM(M26,M37,M44,M47)</f>
      </c>
      <c r="N52" s="163">
        <f>SUM(N26,N37,N44,N47)</f>
      </c>
      <c r="O52" s="163">
        <f>SUM(C52:N52)</f>
      </c>
      <c r="P52" s="116">
        <f>O52/$O$16</f>
      </c>
      <c r="Q52" s="1"/>
      <c r="T52" s="119">
        <f>O52-'淘系'!O52-'淘系达播'!O52-'抖音'!O52-'抖音达播'!O52-'快手'!O52-'京东POP财经口径'!O52-'京东自营财经口径'!O52-PDD!O52-'得物'!O52-'视频号+官网+小程序'!O52-'唯品会'!O52-'线下门店-直营'!O52-'线下门店-经销'!O52-'线下渠道'!O52</f>
      </c>
    </row>
    <row r="53">
      <c r="A53" s="118"/>
      <c r="B53" s="117" t="str">
        <v>平台佣金</v>
      </c>
      <c r="C53" s="117">
        <f>'淘系'!C53+'抖音'!C53+PDD!C53+'得物'!C53+'京东自营财经口径'!C53+'京东POP财经口径'!C53+'视频号+官网+小程序'!C53+'快手'!C53+'唯品会'!C53+'线下门店-直营'!C53+'线下门店-经销'!C53+'线下渠道'!C53+'淘系达播'!C53+'抖音达播'!C53</f>
      </c>
      <c r="D53" s="117">
        <f>'淘系'!D53+'抖音'!D53+PDD!D53+'得物'!D53+'京东自营财经口径'!D53+'京东POP财经口径'!D53+'视频号+官网+小程序'!D53+'快手'!D53+'唯品会'!D53+'线下门店-直营'!D53+'线下门店-经销'!D53+'线下渠道'!D53+'淘系达播'!D53+'抖音达播'!D53</f>
      </c>
      <c r="E53" s="117">
        <f>'淘系'!E53+'抖音'!E53+PDD!E53+'得物'!E53+'京东自营财经口径'!E53+'京东POP财经口径'!E53+'视频号+官网+小程序'!E53+'快手'!E53+'唯品会'!E53+'线下门店-直营'!E53+'线下门店-经销'!E53+'线下渠道'!E53+'淘系达播'!E53+'抖音达播'!E53</f>
      </c>
      <c r="F53" s="117">
        <f>'淘系'!F53+'抖音'!F53+PDD!F53+'得物'!F53+'京东自营财经口径'!F53+'京东POP财经口径'!F53+'视频号+官网+小程序'!F53+'快手'!F53+'唯品会'!F53+'线下门店-直营'!F53+'线下门店-经销'!F53+'线下渠道'!F53+'淘系达播'!F53+'抖音达播'!F53</f>
      </c>
      <c r="G53" s="117">
        <f>'淘系'!G53+'抖音'!G53+PDD!G53+'得物'!G53+'京东自营财经口径'!G53+'京东POP财经口径'!G53+'视频号+官网+小程序'!G53+'快手'!G53+'唯品会'!G53+'线下门店-直营'!G53+'线下门店-经销'!G53+'线下渠道'!G53+'淘系达播'!G53+'抖音达播'!G53</f>
      </c>
      <c r="H53" s="117">
        <f>'淘系'!H53+'抖音'!H53+PDD!H53+'得物'!H53+'京东自营财经口径'!H53+'京东POP财经口径'!H53+'视频号+官网+小程序'!H53+'快手'!H53+'唯品会'!H53+'线下门店-直营'!H53+'线下门店-经销'!H53+'线下渠道'!H53+'淘系达播'!H53+'抖音达播'!H53</f>
      </c>
      <c r="I53" s="117">
        <f>'淘系'!I53+'抖音'!I53+PDD!I53+'得物'!I53+'京东自营财经口径'!I53+'京东POP财经口径'!I53+'视频号+官网+小程序'!I53+'快手'!I53+'唯品会'!I53+'线下门店-直营'!I53+'线下门店-经销'!I53+'线下渠道'!I53+'淘系达播'!I53+'抖音达播'!I53</f>
      </c>
      <c r="J53" s="117">
        <f>'淘系'!J53+'抖音'!J53+PDD!J53+'得物'!J53+'京东自营财经口径'!J53+'京东POP财经口径'!J53+'视频号+官网+小程序'!J53+'快手'!J53+'唯品会'!J53+'线下门店-直营'!J53+'线下门店-经销'!J53+'线下渠道'!J53+'淘系达播'!J53+'抖音达播'!J53</f>
      </c>
      <c r="K53" s="117">
        <f>'淘系'!K53+'抖音'!K53+PDD!K53+'得物'!K53+'京东自营财经口径'!K53+'京东POP财经口径'!K53+'视频号+官网+小程序'!K53+'快手'!K53+'唯品会'!K53+'线下门店-直营'!K53+'线下门店-经销'!K53+'线下渠道'!K53+'淘系达播'!K53+'抖音达播'!K53</f>
      </c>
      <c r="L53" s="117">
        <f>'淘系'!L53+'抖音'!L53+PDD!L53+'得物'!L53+'京东自营财经口径'!L53+'京东POP财经口径'!L53+'视频号+官网+小程序'!L53+'快手'!L53+'唯品会'!L53+'线下门店-直营'!L53+'线下门店-经销'!L53+'线下渠道'!L53+'淘系达播'!L53+'抖音达播'!L53</f>
      </c>
      <c r="M53" s="117">
        <f>'淘系'!M53+'抖音'!M53+PDD!M53+'得物'!M53+'京东自营财经口径'!M53+'京东POP财经口径'!M53+'视频号+官网+小程序'!M53+'快手'!M53+'唯品会'!M53+'线下门店-直营'!M53+'线下门店-经销'!M53+'线下渠道'!M53+'淘系达播'!M53+'抖音达播'!M53</f>
      </c>
      <c r="N53" s="117">
        <f>'淘系'!N53+'抖音'!N53+PDD!N53+'得物'!N53+'京东自营财经口径'!N53+'京东POP财经口径'!N53+'视频号+官网+小程序'!N53+'快手'!N53+'唯品会'!N53+'线下门店-直营'!N53+'线下门店-经销'!N53+'线下渠道'!N53+'淘系达播'!N53+'抖音达播'!N53</f>
      </c>
      <c r="O53" s="117">
        <f>SUM(C53:N53)</f>
      </c>
      <c r="P53" s="120">
        <f>O53/$O$16</f>
      </c>
      <c r="Q53" s="1"/>
      <c r="T53" s="119">
        <f>O53-'淘系'!O53-'淘系达播'!O53-'抖音'!O53-'抖音达播'!O53-'快手'!O53-'京东POP财经口径'!O53-'京东自营财经口径'!O53-PDD!O53-'得物'!O53-'视频号+官网+小程序'!O53-'唯品会'!O53-'线下门店-直营'!O53-'线下门店-经销'!O53-'线下渠道'!O53</f>
      </c>
    </row>
    <row r="54">
      <c r="A54" s="118"/>
      <c r="B54" s="117" t="str">
        <v>平台其他费用</v>
      </c>
      <c r="C54" s="117">
        <f>'淘系'!C54+'抖音'!C54+PDD!C54+'得物'!C54+'京东自营财经口径'!C54+'京东POP财经口径'!C54+'视频号+官网+小程序'!C54+'快手'!C54+'唯品会'!C54+'线下门店-直营'!C54+'线下门店-经销'!C54+'线下渠道'!C54+'淘系达播'!C54+'抖音达播'!C54</f>
      </c>
      <c r="D54" s="117">
        <f>'淘系'!D54+'抖音'!D54+PDD!D54+'得物'!D54+'京东自营财经口径'!D54+'京东POP财经口径'!D54+'视频号+官网+小程序'!D54+'快手'!D54+'唯品会'!D54+'线下门店-直营'!D54+'线下门店-经销'!D54+'线下渠道'!D54+'淘系达播'!D54+'抖音达播'!D54</f>
      </c>
      <c r="E54" s="117">
        <f>'淘系'!E54+'抖音'!E54+PDD!E54+'得物'!E54+'京东自营财经口径'!E54+'京东POP财经口径'!E54+'视频号+官网+小程序'!E54+'快手'!E54+'唯品会'!E54+'线下门店-直营'!E54+'线下门店-经销'!E54+'线下渠道'!E54+'淘系达播'!E54+'抖音达播'!E54</f>
      </c>
      <c r="F54" s="117">
        <f>'淘系'!F54+'抖音'!F54+PDD!F54+'得物'!F54+'京东自营财经口径'!F54+'京东POP财经口径'!F54+'视频号+官网+小程序'!F54+'快手'!F54+'唯品会'!F54+'线下门店-直营'!F54+'线下门店-经销'!F54+'线下渠道'!F54+'淘系达播'!F54+'抖音达播'!F54</f>
      </c>
      <c r="G54" s="117">
        <f>'淘系'!G54+'抖音'!G54+PDD!G54+'得物'!G54+'京东自营财经口径'!G54+'京东POP财经口径'!G54+'视频号+官网+小程序'!G54+'快手'!G54+'唯品会'!G54+'线下门店-直营'!G54+'线下门店-经销'!G54+'线下渠道'!G54+'淘系达播'!G54+'抖音达播'!G54</f>
      </c>
      <c r="H54" s="117">
        <f>'淘系'!H54+'抖音'!H54+PDD!H54+'得物'!H54+'京东自营财经口径'!H54+'京东POP财经口径'!H54+'视频号+官网+小程序'!H54+'快手'!H54+'唯品会'!H54+'线下门店-直营'!H54+'线下门店-经销'!H54+'线下渠道'!H54+'淘系达播'!H54+'抖音达播'!H54</f>
      </c>
      <c r="I54" s="117">
        <f>'淘系'!I54+'抖音'!I54+PDD!I54+'得物'!I54+'京东自营财经口径'!I54+'京东POP财经口径'!I54+'视频号+官网+小程序'!I54+'快手'!I54+'唯品会'!I54+'线下门店-直营'!I54+'线下门店-经销'!I54+'线下渠道'!I54+'淘系达播'!I54+'抖音达播'!I54</f>
      </c>
      <c r="J54" s="117">
        <f>'淘系'!J54+'抖音'!J54+PDD!J54+'得物'!J54+'京东自营财经口径'!J54+'京东POP财经口径'!J54+'视频号+官网+小程序'!J54+'快手'!J54+'唯品会'!J54+'线下门店-直营'!J54+'线下门店-经销'!J54+'线下渠道'!J54+'淘系达播'!J54+'抖音达播'!J54</f>
      </c>
      <c r="K54" s="117">
        <f>'淘系'!K54+'抖音'!K54+PDD!K54+'得物'!K54+'京东自营财经口径'!K54+'京东POP财经口径'!K54+'视频号+官网+小程序'!K54+'快手'!K54+'唯品会'!K54+'线下门店-直营'!K54+'线下门店-经销'!K54+'线下渠道'!K54+'淘系达播'!K54+'抖音达播'!K54</f>
      </c>
      <c r="L54" s="117">
        <f>'淘系'!L54+'抖音'!L54+PDD!L54+'得物'!L54+'京东自营财经口径'!L54+'京东POP财经口径'!L54+'视频号+官网+小程序'!L54+'快手'!L54+'唯品会'!L54+'线下门店-直营'!L54+'线下门店-经销'!L54+'线下渠道'!L54+'淘系达播'!L54+'抖音达播'!L54</f>
      </c>
      <c r="M54" s="117">
        <f>'淘系'!M54+'抖音'!M54+PDD!M54+'得物'!M54+'京东自营财经口径'!M54+'京东POP财经口径'!M54+'视频号+官网+小程序'!M54+'快手'!M54+'唯品会'!M54+'线下门店-直营'!M54+'线下门店-经销'!M54+'线下渠道'!M54+'淘系达播'!M54+'抖音达播'!M54</f>
      </c>
      <c r="N54" s="117">
        <f>'淘系'!N54+'抖音'!N54+PDD!N54+'得物'!N54+'京东自营财经口径'!N54+'京东POP财经口径'!N54+'视频号+官网+小程序'!N54+'快手'!N54+'唯品会'!N54+'线下门店-直营'!N54+'线下门店-经销'!N54+'线下渠道'!N54+'淘系达播'!N54+'抖音达播'!N54</f>
      </c>
      <c r="O54" s="117">
        <f>SUM(C54:N54)</f>
      </c>
      <c r="P54" s="120">
        <f>O54/$O$16</f>
      </c>
      <c r="Q54" s="1"/>
      <c r="T54" s="119">
        <f>O54-'淘系'!O54-'淘系达播'!O54-'抖音'!O54-'抖音达播'!O54-'快手'!O54-'京东POP财经口径'!O54-'京东自营财经口径'!O54-PDD!O54-'得物'!O54-'视频号+官网+小程序'!O54-'唯品会'!O54-'线下门店-直营'!O54-'线下门店-经销'!O54-'线下渠道'!O54</f>
      </c>
    </row>
    <row r="55">
      <c r="A55" s="118"/>
      <c r="B55" s="117" t="str">
        <v>售后费用</v>
      </c>
      <c r="C55" s="117">
        <f>'淘系'!C55+'抖音'!C55+PDD!C55+'得物'!C55+'京东自营财经口径'!C55+'京东POP财经口径'!C55+'视频号+官网+小程序'!C55+'快手'!C55+'唯品会'!C55+'线下门店-直营'!C55+'线下门店-经销'!C55+'线下渠道'!C55+'淘系达播'!C55+'抖音达播'!C55</f>
      </c>
      <c r="D55" s="117">
        <f>'淘系'!D55+'抖音'!D55+PDD!D55+'得物'!D55+'京东自营财经口径'!D55+'京东POP财经口径'!D55+'视频号+官网+小程序'!D55+'快手'!D55+'唯品会'!D55+'线下门店-直营'!D55+'线下门店-经销'!D55+'线下渠道'!D55+'淘系达播'!D55+'抖音达播'!D55</f>
      </c>
      <c r="E55" s="117">
        <f>'淘系'!E55+'抖音'!E55+PDD!E55+'得物'!E55+'京东自营财经口径'!E55+'京东POP财经口径'!E55+'视频号+官网+小程序'!E55+'快手'!E55+'唯品会'!E55+'线下门店-直营'!E55+'线下门店-经销'!E55+'线下渠道'!E55+'淘系达播'!E55+'抖音达播'!E55</f>
      </c>
      <c r="F55" s="117">
        <f>'淘系'!F55+'抖音'!F55+PDD!F55+'得物'!F55+'京东自营财经口径'!F55+'京东POP财经口径'!F55+'视频号+官网+小程序'!F55+'快手'!F55+'唯品会'!F55+'线下门店-直营'!F55+'线下门店-经销'!F55+'线下渠道'!F55+'淘系达播'!F55+'抖音达播'!F55</f>
      </c>
      <c r="G55" s="117">
        <f>'淘系'!G55+'抖音'!G55+PDD!G55+'得物'!G55+'京东自营财经口径'!G55+'京东POP财经口径'!G55+'视频号+官网+小程序'!G55+'快手'!G55+'唯品会'!G55+'线下门店-直营'!G55+'线下门店-经销'!G55+'线下渠道'!G55+'淘系达播'!G55+'抖音达播'!G55</f>
      </c>
      <c r="H55" s="117">
        <f>'淘系'!H55+'抖音'!H55+PDD!H55+'得物'!H55+'京东自营财经口径'!H55+'京东POP财经口径'!H55+'视频号+官网+小程序'!H55+'快手'!H55+'唯品会'!H55+'线下门店-直营'!H55+'线下门店-经销'!H55+'线下渠道'!H55+'淘系达播'!H55+'抖音达播'!H55</f>
      </c>
      <c r="I55" s="117">
        <f>'淘系'!I55+'抖音'!I55+PDD!I55+'得物'!I55+'京东自营财经口径'!I55+'京东POP财经口径'!I55+'视频号+官网+小程序'!I55+'快手'!I55+'唯品会'!I55+'线下门店-直营'!I55+'线下门店-经销'!I55+'线下渠道'!I55+'淘系达播'!I55+'抖音达播'!I55</f>
      </c>
      <c r="J55" s="117">
        <f>'淘系'!J55+'抖音'!J55+PDD!J55+'得物'!J55+'京东自营财经口径'!J55+'京东POP财经口径'!J55+'视频号+官网+小程序'!J55+'快手'!J55+'唯品会'!J55+'线下门店-直营'!J55+'线下门店-经销'!J55+'线下渠道'!J55+'淘系达播'!J55+'抖音达播'!J55</f>
      </c>
      <c r="K55" s="117">
        <f>'淘系'!K55+'抖音'!K55+PDD!K55+'得物'!K55+'京东自营财经口径'!K55+'京东POP财经口径'!K55+'视频号+官网+小程序'!K55+'快手'!K55+'唯品会'!K55+'线下门店-直营'!K55+'线下门店-经销'!K55+'线下渠道'!K55+'淘系达播'!K55+'抖音达播'!K55</f>
      </c>
      <c r="L55" s="117">
        <f>'淘系'!L55+'抖音'!L55+PDD!L55+'得物'!L55+'京东自营财经口径'!L55+'京东POP财经口径'!L55+'视频号+官网+小程序'!L55+'快手'!L55+'唯品会'!L55+'线下门店-直营'!L55+'线下门店-经销'!L55+'线下渠道'!L55+'淘系达播'!L55+'抖音达播'!L55</f>
      </c>
      <c r="M55" s="117">
        <f>'淘系'!M55+'抖音'!M55+PDD!M55+'得物'!M55+'京东自营财经口径'!M55+'京东POP财经口径'!M55+'视频号+官网+小程序'!M55+'快手'!M55+'唯品会'!M55+'线下门店-直营'!M55+'线下门店-经销'!M55+'线下渠道'!M55+'淘系达播'!M55+'抖音达播'!M55</f>
      </c>
      <c r="N55" s="117">
        <f>'淘系'!N55+'抖音'!N55+PDD!N55+'得物'!N55+'京东自营财经口径'!N55+'京东POP财经口径'!N55+'视频号+官网+小程序'!N55+'快手'!N55+'唯品会'!N55+'线下门店-直营'!N55+'线下门店-经销'!N55+'线下渠道'!N55+'淘系达播'!N55+'抖音达播'!N55</f>
      </c>
      <c r="O55" s="117">
        <f>SUM(C55:N55)</f>
      </c>
      <c r="P55" s="120">
        <f>O55/$O$16</f>
      </c>
      <c r="Q55" s="1"/>
      <c r="T55" s="119">
        <f>O55-'淘系'!O55-'淘系达播'!O55-'抖音'!O55-'抖音达播'!O55-'快手'!O55-'京东POP财经口径'!O55-'京东自营财经口径'!O55-PDD!O55-'得物'!O55-'视频号+官网+小程序'!O55-'唯品会'!O55-'线下门店-直营'!O55-'线下门店-经销'!O55-'线下渠道'!O55</f>
      </c>
    </row>
    <row r="56">
      <c r="A56" s="118"/>
      <c r="B56" s="117" t="str">
        <v>短信及店铺软件</v>
      </c>
      <c r="C56" s="117">
        <f>'淘系'!C56+'抖音'!C56+PDD!C56+'得物'!C56+'京东自营财经口径'!C56+'京东POP财经口径'!C56+'视频号+官网+小程序'!C56+'快手'!C56+'唯品会'!C56+'线下门店-直营'!C56+'线下门店-经销'!C56+'线下渠道'!C56+'淘系达播'!C56+'抖音达播'!C56</f>
      </c>
      <c r="D56" s="117">
        <f>'淘系'!D56+'抖音'!D56+PDD!D56+'得物'!D56+'京东自营财经口径'!D56+'京东POP财经口径'!D56+'视频号+官网+小程序'!D56+'快手'!D56+'唯品会'!D56+'线下门店-直营'!D56+'线下门店-经销'!D56+'线下渠道'!D56+'淘系达播'!D56+'抖音达播'!D56</f>
      </c>
      <c r="E56" s="117">
        <f>'淘系'!E56+'抖音'!E56+PDD!E56+'得物'!E56+'京东自营财经口径'!E56+'京东POP财经口径'!E56+'视频号+官网+小程序'!E56+'快手'!E56+'唯品会'!E56+'线下门店-直营'!E56+'线下门店-经销'!E56+'线下渠道'!E56+'淘系达播'!E56+'抖音达播'!E56</f>
      </c>
      <c r="F56" s="117">
        <f>'淘系'!F56+'抖音'!F56+PDD!F56+'得物'!F56+'京东自营财经口径'!F56+'京东POP财经口径'!F56+'视频号+官网+小程序'!F56+'快手'!F56+'唯品会'!F56+'线下门店-直营'!F56+'线下门店-经销'!F56+'线下渠道'!F56+'淘系达播'!F56+'抖音达播'!F56</f>
      </c>
      <c r="G56" s="117">
        <f>'淘系'!G56+'抖音'!G56+PDD!G56+'得物'!G56+'京东自营财经口径'!G56+'京东POP财经口径'!G56+'视频号+官网+小程序'!G56+'快手'!G56+'唯品会'!G56+'线下门店-直营'!G56+'线下门店-经销'!G56+'线下渠道'!G56+'淘系达播'!G56+'抖音达播'!G56</f>
      </c>
      <c r="H56" s="117">
        <f>'淘系'!H56+'抖音'!H56+PDD!H56+'得物'!H56+'京东自营财经口径'!H56+'京东POP财经口径'!H56+'视频号+官网+小程序'!H56+'快手'!H56+'唯品会'!H56+'线下门店-直营'!H56+'线下门店-经销'!H56+'线下渠道'!H56+'淘系达播'!H56+'抖音达播'!H56</f>
      </c>
      <c r="I56" s="117">
        <f>'淘系'!I56+'抖音'!I56+PDD!I56+'得物'!I56+'京东自营财经口径'!I56+'京东POP财经口径'!I56+'视频号+官网+小程序'!I56+'快手'!I56+'唯品会'!I56+'线下门店-直营'!I56+'线下门店-经销'!I56+'线下渠道'!I56+'淘系达播'!I56+'抖音达播'!I56</f>
      </c>
      <c r="J56" s="117">
        <f>'淘系'!J56+'抖音'!J56+PDD!J56+'得物'!J56+'京东自营财经口径'!J56+'京东POP财经口径'!J56+'视频号+官网+小程序'!J56+'快手'!J56+'唯品会'!J56+'线下门店-直营'!J56+'线下门店-经销'!J56+'线下渠道'!J56+'淘系达播'!J56+'抖音达播'!J56</f>
      </c>
      <c r="K56" s="117">
        <f>'淘系'!K56+'抖音'!K56+PDD!K56+'得物'!K56+'京东自营财经口径'!K56+'京东POP财经口径'!K56+'视频号+官网+小程序'!K56+'快手'!K56+'唯品会'!K56+'线下门店-直营'!K56+'线下门店-经销'!K56+'线下渠道'!K56+'淘系达播'!K56+'抖音达播'!K56</f>
      </c>
      <c r="L56" s="117">
        <f>'淘系'!L56+'抖音'!L56+PDD!L56+'得物'!L56+'京东自营财经口径'!L56+'京东POP财经口径'!L56+'视频号+官网+小程序'!L56+'快手'!L56+'唯品会'!L56+'线下门店-直营'!L56+'线下门店-经销'!L56+'线下渠道'!L56+'淘系达播'!L56+'抖音达播'!L56</f>
      </c>
      <c r="M56" s="117">
        <f>'淘系'!M56+'抖音'!M56+PDD!M56+'得物'!M56+'京东自营财经口径'!M56+'京东POP财经口径'!M56+'视频号+官网+小程序'!M56+'快手'!M56+'唯品会'!M56+'线下门店-直营'!M56+'线下门店-经销'!M56+'线下渠道'!M56+'淘系达播'!M56+'抖音达播'!M56</f>
      </c>
      <c r="N56" s="117">
        <f>'淘系'!N56+'抖音'!N56+PDD!N56+'得物'!N56+'京东自营财经口径'!N56+'京东POP财经口径'!N56+'视频号+官网+小程序'!N56+'快手'!N56+'唯品会'!N56+'线下门店-直营'!N56+'线下门店-经销'!N56+'线下渠道'!N56+'淘系达播'!N56+'抖音达播'!N56</f>
      </c>
      <c r="O56" s="117">
        <f>SUM(C56:N56)</f>
      </c>
      <c r="P56" s="120">
        <f>O56/$O$16</f>
      </c>
      <c r="Q56" s="1"/>
      <c r="T56" s="119">
        <f>O56-'淘系'!O56-'淘系达播'!O56-'抖音'!O56-'抖音达播'!O56-'快手'!O56-'京东POP财经口径'!O56-'京东自营财经口径'!O56-PDD!O56-'得物'!O56-'视频号+官网+小程序'!O56-'唯品会'!O56-'线下门店-直营'!O56-'线下门店-经销'!O56-'线下渠道'!O56</f>
      </c>
    </row>
    <row r="57">
      <c r="A57" s="118"/>
      <c r="B57" s="117" t="str">
        <v>其他运营费用（咨询调研等）</v>
      </c>
      <c r="C57" s="117">
        <f>'淘系'!C57+'抖音'!C57+PDD!C57+'得物'!C57+'京东自营财经口径'!C57+'京东POP财经口径'!C57+'视频号+官网+小程序'!C57+'快手'!C57+'唯品会'!C57+'线下门店-直营'!C57+'线下门店-经销'!C57+'线下渠道'!C57+'淘系达播'!C57+'抖音达播'!C57</f>
      </c>
      <c r="D57" s="117">
        <f>'淘系'!D57+'抖音'!D57+PDD!D57+'得物'!D57+'京东自营财经口径'!D57+'京东POP财经口径'!D57+'视频号+官网+小程序'!D57+'快手'!D57+'唯品会'!D57+'线下门店-直营'!D57+'线下门店-经销'!D57+'线下渠道'!D57+'淘系达播'!D57+'抖音达播'!D57</f>
      </c>
      <c r="E57" s="117">
        <f>'淘系'!E57+'抖音'!E57+PDD!E57+'得物'!E57+'京东自营财经口径'!E57+'京东POP财经口径'!E57+'视频号+官网+小程序'!E57+'快手'!E57+'唯品会'!E57+'线下门店-直营'!E57+'线下门店-经销'!E57+'线下渠道'!E57+'淘系达播'!E57+'抖音达播'!E57</f>
      </c>
      <c r="F57" s="117">
        <f>'淘系'!F57+'抖音'!F57+PDD!F57+'得物'!F57+'京东自营财经口径'!F57+'京东POP财经口径'!F57+'视频号+官网+小程序'!F57+'快手'!F57+'唯品会'!F57+'线下门店-直营'!F57+'线下门店-经销'!F57+'线下渠道'!F57+'淘系达播'!F57+'抖音达播'!F57</f>
      </c>
      <c r="G57" s="117">
        <f>'淘系'!G57+'抖音'!G57+PDD!G57+'得物'!G57+'京东自营财经口径'!G57+'京东POP财经口径'!G57+'视频号+官网+小程序'!G57+'快手'!G57+'唯品会'!G57+'线下门店-直营'!G57+'线下门店-经销'!G57+'线下渠道'!G57+'淘系达播'!G57+'抖音达播'!G57</f>
      </c>
      <c r="H57" s="117">
        <f>'淘系'!H57+'抖音'!H57+PDD!H57+'得物'!H57+'京东自营财经口径'!H57+'京东POP财经口径'!H57+'视频号+官网+小程序'!H57+'快手'!H57+'唯品会'!H57+'线下门店-直营'!H57+'线下门店-经销'!H57+'线下渠道'!H57+'淘系达播'!H57+'抖音达播'!H57</f>
      </c>
      <c r="I57" s="117">
        <f>'淘系'!I57+'抖音'!I57+PDD!I57+'得物'!I57+'京东自营财经口径'!I57+'京东POP财经口径'!I57+'视频号+官网+小程序'!I57+'快手'!I57+'唯品会'!I57+'线下门店-直营'!I57+'线下门店-经销'!I57+'线下渠道'!I57+'淘系达播'!I57+'抖音达播'!I57</f>
      </c>
      <c r="J57" s="117">
        <f>'淘系'!J57+'抖音'!J57+PDD!J57+'得物'!J57+'京东自营财经口径'!J57+'京东POP财经口径'!J57+'视频号+官网+小程序'!J57+'快手'!J57+'唯品会'!J57+'线下门店-直营'!J57+'线下门店-经销'!J57+'线下渠道'!J57+'淘系达播'!J57+'抖音达播'!J57</f>
      </c>
      <c r="K57" s="117">
        <f>'淘系'!K57+'抖音'!K57+PDD!K57+'得物'!K57+'京东自营财经口径'!K57+'京东POP财经口径'!K57+'视频号+官网+小程序'!K57+'快手'!K57+'唯品会'!K57+'线下门店-直营'!K57+'线下门店-经销'!K57+'线下渠道'!K57+'淘系达播'!K57+'抖音达播'!K57</f>
      </c>
      <c r="L57" s="117">
        <f>'淘系'!L57+'抖音'!L57+PDD!L57+'得物'!L57+'京东自营财经口径'!L57+'京东POP财经口径'!L57+'视频号+官网+小程序'!L57+'快手'!L57+'唯品会'!L57+'线下门店-直营'!L57+'线下门店-经销'!L57+'线下渠道'!L57+'淘系达播'!L57+'抖音达播'!L57</f>
      </c>
      <c r="M57" s="117">
        <f>'淘系'!M57+'抖音'!M57+PDD!M57+'得物'!M57+'京东自营财经口径'!M57+'京东POP财经口径'!M57+'视频号+官网+小程序'!M57+'快手'!M57+'唯品会'!M57+'线下门店-直营'!M57+'线下门店-经销'!M57+'线下渠道'!M57+'淘系达播'!M57+'抖音达播'!M57</f>
      </c>
      <c r="N57" s="117">
        <f>'淘系'!N57+'抖音'!N57+PDD!N57+'得物'!N57+'京东自营财经口径'!N57+'京东POP财经口径'!N57+'视频号+官网+小程序'!N57+'快手'!N57+'唯品会'!N57+'线下门店-直营'!N57+'线下门店-经销'!N57+'线下渠道'!N57+'淘系达播'!N57+'抖音达播'!N57</f>
      </c>
      <c r="O57" s="117">
        <f>SUM(C57:N57)</f>
      </c>
      <c r="P57" s="120">
        <f>O57/$O$16</f>
      </c>
      <c r="Q57" s="164" t="str">
        <v>新品需求调研，产品上市反馈</v>
      </c>
      <c r="T57" s="119">
        <f>O57-'淘系'!O57-'淘系达播'!O57-'抖音'!O57-'抖音达播'!O57-'快手'!O57-'京东POP财经口径'!O57-'京东自营财经口径'!O57-PDD!O57-'得物'!O57-'视频号+官网+小程序'!O57-'唯品会'!O57-'线下门店-直营'!O57-'线下门店-经销'!O57-'线下渠道'!O57</f>
      </c>
    </row>
    <row r="58">
      <c r="A58" s="1"/>
      <c r="B58" s="163" t="str">
        <v>店铺运营费用</v>
      </c>
      <c r="C58" s="163">
        <f>SUM(C53:C57)</f>
      </c>
      <c r="D58" s="163">
        <f>SUM(D53:D57)</f>
      </c>
      <c r="E58" s="163">
        <f>SUM(E53:E57)</f>
      </c>
      <c r="F58" s="163">
        <f>SUM(F53:F57)</f>
      </c>
      <c r="G58" s="163">
        <f>SUM(G53:G57)</f>
      </c>
      <c r="H58" s="163">
        <f>SUM(H53:H57)</f>
      </c>
      <c r="I58" s="163">
        <f>SUM(I53:I57)</f>
      </c>
      <c r="J58" s="163">
        <f>SUM(J53:J57)</f>
      </c>
      <c r="K58" s="163">
        <f>SUM(K53:K57)</f>
      </c>
      <c r="L58" s="163">
        <f>SUM(L53:L57)</f>
      </c>
      <c r="M58" s="163">
        <f>SUM(M53:M57)</f>
      </c>
      <c r="N58" s="163">
        <f>SUM(N53:N57)</f>
      </c>
      <c r="O58" s="163">
        <f>SUM(C58:N58)</f>
      </c>
      <c r="P58" s="116">
        <f>O58/$O$16</f>
      </c>
      <c r="Q58" s="1"/>
      <c r="T58" s="119">
        <f>O58-'淘系'!O58-'淘系达播'!O58-'抖音'!O58-'抖音达播'!O58-'快手'!O58-'京东POP财经口径'!O58-'京东自营财经口径'!O58-PDD!O58-'得物'!O58-'视频号+官网+小程序'!O58-'唯品会'!O58-'线下门店-直营'!O58-'线下门店-经销'!O58-'线下渠道'!O58</f>
      </c>
    </row>
    <row r="59">
      <c r="A59" s="135"/>
      <c r="B59" s="161" t="str">
        <v>A&amp;P 合计数</v>
      </c>
      <c r="C59" s="161">
        <f>SUM(C52,C58)</f>
      </c>
      <c r="D59" s="161">
        <f>SUM(D52,D58)</f>
      </c>
      <c r="E59" s="161">
        <f>SUM(E52,E58)</f>
      </c>
      <c r="F59" s="161">
        <f>SUM(F52,F58)</f>
      </c>
      <c r="G59" s="161">
        <f>SUM(G52,G58)</f>
      </c>
      <c r="H59" s="161">
        <f>SUM(H52,H58)</f>
      </c>
      <c r="I59" s="161">
        <f>SUM(I52,I58)</f>
      </c>
      <c r="J59" s="161">
        <f>SUM(J52,J58)</f>
      </c>
      <c r="K59" s="161">
        <f>SUM(K52,K58)</f>
      </c>
      <c r="L59" s="161">
        <f>SUM(L52,L58)</f>
      </c>
      <c r="M59" s="161">
        <f>SUM(M52,M58)</f>
      </c>
      <c r="N59" s="161">
        <f>SUM(N52,N58)</f>
      </c>
      <c r="O59" s="161">
        <f>SUM(C59:N59)</f>
      </c>
      <c r="P59" s="162">
        <f>O59/$O$16</f>
      </c>
      <c r="Q59" s="135"/>
      <c r="R59" s="106"/>
      <c r="S59" s="106"/>
      <c r="T59" s="119">
        <f>O59-'淘系'!O59-'淘系达播'!O59-'抖音'!O59-'抖音达播'!O59-'快手'!O59-'京东POP财经口径'!O59-'京东自营财经口径'!O59-PDD!O59-'得物'!O59-'视频号+官网+小程序'!O59-'唯品会'!O59-'线下门店-直营'!O59-'线下门店-经销'!O59-'线下渠道'!O59</f>
      </c>
      <c r="U59" s="106"/>
      <c r="V59" s="106"/>
    </row>
    <row r="60">
      <c r="A60" s="135"/>
      <c r="B60" s="161" t="str">
        <v>店铺利润</v>
      </c>
      <c r="C60" s="161">
        <f>C22-C59</f>
      </c>
      <c r="D60" s="161">
        <f>D22-D59</f>
      </c>
      <c r="E60" s="161">
        <f>E22-E59</f>
      </c>
      <c r="F60" s="161">
        <f>F22-F59</f>
      </c>
      <c r="G60" s="161">
        <f>G22-G59</f>
      </c>
      <c r="H60" s="161">
        <f>H22-H59</f>
      </c>
      <c r="I60" s="161">
        <f>I22-I59</f>
      </c>
      <c r="J60" s="161">
        <f>J22-J59</f>
      </c>
      <c r="K60" s="161">
        <f>K22-K59</f>
      </c>
      <c r="L60" s="161">
        <f>L22-L59</f>
      </c>
      <c r="M60" s="161">
        <f>M22-M59</f>
      </c>
      <c r="N60" s="161">
        <f>N22-N59</f>
      </c>
      <c r="O60" s="161">
        <f>SUM(C60:N60)</f>
      </c>
      <c r="P60" s="162">
        <f>O60/$O$16</f>
      </c>
      <c r="Q60" s="135" t="str">
        <v>1700万成本差</v>
      </c>
      <c r="R60" s="107"/>
      <c r="S60" s="107"/>
      <c r="T60" s="119">
        <f>O60-'淘系'!O60-'淘系达播'!O60-'抖音'!O60-'抖音达播'!O60-'快手'!O60-'京东POP财经口径'!O60-'京东自营财经口径'!O60-PDD!O60-'得物'!O60-'视频号+官网+小程序'!O60-'唯品会'!O60-'线下门店-直营'!O60-'线下门店-经销'!O60-'线下渠道'!O60</f>
      </c>
      <c r="U60" s="107"/>
      <c r="V60" s="107"/>
    </row>
    <row r="61">
      <c r="A61" s="1"/>
      <c r="B61" s="1"/>
      <c r="C61" s="160">
        <f>C60/C16</f>
      </c>
      <c r="D61" s="160">
        <f>D60/D16</f>
      </c>
      <c r="E61" s="160">
        <f>E60/E16</f>
      </c>
      <c r="F61" s="160">
        <f>F60/F16</f>
      </c>
      <c r="G61" s="160">
        <f>G60/G16</f>
      </c>
      <c r="H61" s="160">
        <f>H60/H16</f>
      </c>
      <c r="I61" s="160">
        <f>I60/I16</f>
      </c>
      <c r="J61" s="160">
        <f>J60/J16</f>
      </c>
      <c r="K61" s="160">
        <f>K60/K16</f>
      </c>
      <c r="L61" s="160">
        <f>L60/L16</f>
      </c>
      <c r="M61" s="160">
        <f>M60/M16</f>
      </c>
      <c r="N61" s="160">
        <f>N60/N16</f>
      </c>
      <c r="O61" s="160">
        <f>O60/O16</f>
      </c>
      <c r="P61" s="1"/>
      <c r="Q61" s="1"/>
      <c r="R61" s="1"/>
      <c r="S61" s="1"/>
      <c r="T61" s="1"/>
    </row>
    <row r="62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7"/>
      <c r="V62" s="157"/>
    </row>
    <row r="63">
      <c r="A63" s="1"/>
      <c r="B63" s="149" t="str">
        <v>BU 可控运营费用</v>
      </c>
      <c r="C63" s="142">
        <f>C64+C65</f>
      </c>
      <c r="D63" s="142">
        <f>D64+D65</f>
      </c>
      <c r="E63" s="142">
        <f>E64+E65</f>
      </c>
      <c r="F63" s="142">
        <f>F64+F65</f>
      </c>
      <c r="G63" s="142">
        <f>G64+G65</f>
      </c>
      <c r="H63" s="142">
        <f>H64+H65</f>
      </c>
      <c r="I63" s="142">
        <f>I64+I65</f>
      </c>
      <c r="J63" s="142">
        <f>J64+J65</f>
      </c>
      <c r="K63" s="142">
        <f>K64+K65</f>
      </c>
      <c r="L63" s="142">
        <f>L64+L65</f>
      </c>
      <c r="M63" s="142">
        <f>M64+M65</f>
      </c>
      <c r="N63" s="142">
        <f>N64+N65</f>
      </c>
      <c r="O63" s="150">
        <f>SUM(C63:N63)</f>
      </c>
      <c r="P63" s="143">
        <f>O63/$O$16</f>
      </c>
      <c r="Q63" s="1"/>
      <c r="R63" s="1"/>
      <c r="S63" s="1"/>
      <c r="T63" s="1"/>
    </row>
    <row r="64">
      <c r="A64" s="1"/>
      <c r="B64" s="154" t="str">
        <v>销售管理费用</v>
      </c>
      <c r="C64" s="153">
        <v>500000</v>
      </c>
      <c r="D64" s="159">
        <v>500000</v>
      </c>
      <c r="E64" s="159">
        <v>500000</v>
      </c>
      <c r="F64" s="159">
        <v>500000</v>
      </c>
      <c r="G64" s="159">
        <v>500000</v>
      </c>
      <c r="H64" s="159">
        <v>500000</v>
      </c>
      <c r="I64" s="159">
        <v>500000</v>
      </c>
      <c r="J64" s="159">
        <v>500000</v>
      </c>
      <c r="K64" s="159">
        <v>500000</v>
      </c>
      <c r="L64" s="159">
        <v>500000</v>
      </c>
      <c r="M64" s="159">
        <v>500000</v>
      </c>
      <c r="N64" s="159">
        <v>500000</v>
      </c>
      <c r="O64" s="140">
        <f>SUM(C64:N64)</f>
      </c>
      <c r="P64" s="155">
        <f>O64/$O$16</f>
      </c>
      <c r="Q64" s="1"/>
      <c r="R64" s="1"/>
      <c r="S64" s="1"/>
      <c r="T64" s="1"/>
    </row>
    <row r="65">
      <c r="A65" s="1"/>
      <c r="B65" s="154" t="str">
        <v>研发费用</v>
      </c>
      <c r="C65" s="153">
        <v>3500000</v>
      </c>
      <c r="D65" s="153">
        <v>3500000</v>
      </c>
      <c r="E65" s="153">
        <v>3300000</v>
      </c>
      <c r="F65" s="153">
        <v>3300000</v>
      </c>
      <c r="G65" s="153">
        <v>3300000</v>
      </c>
      <c r="H65" s="153">
        <v>2300000</v>
      </c>
      <c r="I65" s="153">
        <v>1800000</v>
      </c>
      <c r="J65" s="153">
        <v>1800000</v>
      </c>
      <c r="K65" s="153">
        <v>1800000</v>
      </c>
      <c r="L65" s="153">
        <v>1800000</v>
      </c>
      <c r="M65" s="153">
        <v>1800000</v>
      </c>
      <c r="N65" s="153">
        <v>1800000</v>
      </c>
      <c r="O65" s="140">
        <f>SUM(C65:N65)</f>
      </c>
      <c r="P65" s="155">
        <f>O65/$O$16</f>
      </c>
      <c r="Q65" s="1"/>
      <c r="R65" s="1"/>
      <c r="S65" s="1"/>
      <c r="T65" s="1"/>
    </row>
    <row r="66">
      <c r="A66" s="1"/>
      <c r="B66" s="148" t="str">
        <v>BU可控利润</v>
      </c>
      <c r="C66" s="152">
        <f>C60-C63</f>
      </c>
      <c r="D66" s="152">
        <f>D60-D63</f>
      </c>
      <c r="E66" s="152">
        <f>E60-E63</f>
      </c>
      <c r="F66" s="152">
        <f>F60-F63</f>
      </c>
      <c r="G66" s="152">
        <f>G60-G63</f>
      </c>
      <c r="H66" s="152">
        <f>H60-H63</f>
      </c>
      <c r="I66" s="152">
        <f>I60-I63</f>
      </c>
      <c r="J66" s="152">
        <f>J60-J63</f>
      </c>
      <c r="K66" s="152">
        <f>K60-K63</f>
      </c>
      <c r="L66" s="152">
        <f>L60-L63</f>
      </c>
      <c r="M66" s="152">
        <f>M60-M63</f>
      </c>
      <c r="N66" s="152">
        <f>N60-N63</f>
      </c>
      <c r="O66" s="137">
        <f>SUM(C66:N66)</f>
      </c>
      <c r="P66" s="147">
        <f>O66/$O$16</f>
      </c>
      <c r="Q66" s="1"/>
      <c r="R66" s="1"/>
      <c r="S66" s="1"/>
      <c r="T66" s="1"/>
    </row>
    <row r="67">
      <c r="A67" s="1"/>
      <c r="B67" s="151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66"/>
      <c r="Q67" s="1"/>
      <c r="R67" s="1"/>
      <c r="S67" s="1"/>
      <c r="T67" s="1"/>
    </row>
    <row r="68">
      <c r="A68" s="1"/>
      <c r="B68" s="149" t="str">
        <v>BU贡献费用</v>
      </c>
      <c r="C68" s="142">
        <v>2800000</v>
      </c>
      <c r="D68" s="142">
        <v>2800000</v>
      </c>
      <c r="E68" s="142">
        <v>2800000</v>
      </c>
      <c r="F68" s="142">
        <v>2800000</v>
      </c>
      <c r="G68" s="142">
        <v>2800000</v>
      </c>
      <c r="H68" s="142">
        <v>2800000</v>
      </c>
      <c r="I68" s="142">
        <v>2800000</v>
      </c>
      <c r="J68" s="142">
        <v>2800000</v>
      </c>
      <c r="K68" s="142">
        <v>2800000</v>
      </c>
      <c r="L68" s="142">
        <v>2800000</v>
      </c>
      <c r="M68" s="142">
        <v>2800000</v>
      </c>
      <c r="N68" s="142">
        <v>2800000</v>
      </c>
      <c r="O68" s="150">
        <f>SUM(C68:N68)</f>
      </c>
      <c r="P68" s="143">
        <f>O68/$O$16</f>
      </c>
      <c r="Q68" s="1"/>
      <c r="R68" s="1"/>
      <c r="S68" s="1"/>
      <c r="T68" s="1"/>
    </row>
    <row r="69">
      <c r="A69" s="1"/>
      <c r="B69" s="148" t="str">
        <v>BU贡献利润</v>
      </c>
      <c r="C69" s="136">
        <f>C66-C68</f>
      </c>
      <c r="D69" s="136">
        <f>D66-D68</f>
      </c>
      <c r="E69" s="136">
        <f>E66-E68</f>
      </c>
      <c r="F69" s="136">
        <f>F66-F68</f>
      </c>
      <c r="G69" s="136">
        <f>G66-G68</f>
      </c>
      <c r="H69" s="136">
        <f>H66-H68</f>
      </c>
      <c r="I69" s="136">
        <f>I66-I68</f>
      </c>
      <c r="J69" s="136">
        <f>J66-J68</f>
      </c>
      <c r="K69" s="136">
        <f>K66-K68</f>
      </c>
      <c r="L69" s="136">
        <f>L66-L68</f>
      </c>
      <c r="M69" s="136">
        <f>M66-M68</f>
      </c>
      <c r="N69" s="136">
        <f>N66-N68</f>
      </c>
      <c r="O69" s="137">
        <f>SUM(C69:N69)</f>
      </c>
      <c r="P69" s="147">
        <f>O69/$O$16</f>
      </c>
      <c r="Q69" s="1"/>
      <c r="R69" s="1"/>
      <c r="S69" s="1"/>
      <c r="T69" s="1"/>
    </row>
    <row r="70">
      <c r="A70" s="1"/>
      <c r="B70" s="141"/>
      <c r="C70" s="140"/>
      <c r="D70" s="140"/>
      <c r="E70" s="140"/>
      <c r="F70" s="140"/>
      <c r="G70" s="140"/>
      <c r="H70" s="140"/>
      <c r="I70" s="140"/>
      <c r="J70" s="140"/>
      <c r="K70" s="140"/>
      <c r="L70" s="140"/>
      <c r="M70" s="140"/>
      <c r="N70" s="140"/>
      <c r="O70" s="140"/>
      <c r="P70" s="166"/>
      <c r="Q70" s="1"/>
      <c r="R70" s="1"/>
      <c r="S70" s="1"/>
      <c r="T70" s="1"/>
    </row>
    <row r="71">
      <c r="A71" s="1"/>
      <c r="B71" s="145" t="str">
        <v>集团分摊费用</v>
      </c>
      <c r="C71" s="142">
        <v>1200000</v>
      </c>
      <c r="D71" s="142">
        <v>1200000</v>
      </c>
      <c r="E71" s="142">
        <v>1200000</v>
      </c>
      <c r="F71" s="142">
        <v>1200000</v>
      </c>
      <c r="G71" s="142">
        <v>1200000</v>
      </c>
      <c r="H71" s="142">
        <v>1200000</v>
      </c>
      <c r="I71" s="142">
        <v>1200000</v>
      </c>
      <c r="J71" s="142">
        <v>1200000</v>
      </c>
      <c r="K71" s="142">
        <v>1200000</v>
      </c>
      <c r="L71" s="142">
        <v>1200000</v>
      </c>
      <c r="M71" s="142">
        <v>1200000</v>
      </c>
      <c r="N71" s="142">
        <v>1200000</v>
      </c>
      <c r="O71" s="144">
        <f>SUM(C71:N71)</f>
      </c>
      <c r="P71" s="143">
        <f>O71/$O$16</f>
      </c>
      <c r="Q71" s="1"/>
      <c r="R71" s="1"/>
      <c r="S71" s="1"/>
      <c r="T71" s="1"/>
    </row>
    <row r="72">
      <c r="A72" s="1"/>
      <c r="B72" s="141"/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66"/>
      <c r="Q72" s="1"/>
      <c r="R72" s="1"/>
      <c r="S72" s="1"/>
      <c r="T72" s="1"/>
    </row>
    <row r="73">
      <c r="A73" s="1"/>
      <c r="B73" s="138" t="str">
        <v>净利润</v>
      </c>
      <c r="C73" s="136">
        <f>C69-C71</f>
      </c>
      <c r="D73" s="136">
        <f>D69-D71</f>
      </c>
      <c r="E73" s="136">
        <f>E69-E71</f>
      </c>
      <c r="F73" s="136">
        <f>F69-F71</f>
      </c>
      <c r="G73" s="136">
        <f>G69-G71</f>
      </c>
      <c r="H73" s="136">
        <f>H69-H71</f>
      </c>
      <c r="I73" s="136">
        <f>I69-I71</f>
      </c>
      <c r="J73" s="136">
        <f>J69-J71</f>
      </c>
      <c r="K73" s="136">
        <f>K69-K71</f>
      </c>
      <c r="L73" s="136">
        <f>L69-L71</f>
      </c>
      <c r="M73" s="136">
        <f>M69-M71</f>
      </c>
      <c r="N73" s="136">
        <f>N69-N71</f>
      </c>
      <c r="O73" s="137">
        <f>SUM(C73:N73)</f>
      </c>
      <c r="P73" s="139">
        <f>O73/$O$16</f>
      </c>
      <c r="Q73" s="1"/>
      <c r="R73" s="1"/>
      <c r="S73" s="1"/>
      <c r="T73" s="1"/>
    </row>
    <row r="74">
      <c r="A74" s="1"/>
      <c r="B74" s="133" t="str">
        <v>净利润率</v>
      </c>
      <c r="C74" s="132">
        <f>C73/C16</f>
      </c>
      <c r="D74" s="132">
        <f>D73/D16</f>
      </c>
      <c r="E74" s="132">
        <f>E73/E16</f>
      </c>
      <c r="F74" s="132">
        <f>F73/F16</f>
      </c>
      <c r="G74" s="132">
        <f>G73/G16</f>
      </c>
      <c r="H74" s="132">
        <f>H73/H16</f>
      </c>
      <c r="I74" s="132">
        <f>I73/I16</f>
      </c>
      <c r="J74" s="132">
        <f>J73/J16</f>
      </c>
      <c r="K74" s="132">
        <f>K73/K16</f>
      </c>
      <c r="L74" s="132">
        <f>L73/L16</f>
      </c>
      <c r="M74" s="132">
        <f>M73/M16</f>
      </c>
      <c r="N74" s="132">
        <f>N73/N16</f>
      </c>
      <c r="O74" s="132"/>
      <c r="P74" s="134"/>
      <c r="Q74" s="1"/>
      <c r="R74" s="1"/>
      <c r="S74" s="1"/>
      <c r="T74" s="1"/>
    </row>
    <row r="75">
      <c r="A75" s="1"/>
      <c r="B75" s="16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>
      <c r="A76" s="1"/>
      <c r="B76" s="167" t="str">
        <v>汇总</v>
      </c>
      <c r="C76" s="167" t="str">
        <v>去国补GMV</v>
      </c>
      <c r="D76" s="167" t="str">
        <v>营业收入</v>
      </c>
      <c r="E76" s="168" t="str">
        <v>利润</v>
      </c>
      <c r="F76" s="168" t="str" xml:space="preserve">
        <v> 利润率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>
      <c r="A77" s="1"/>
      <c r="B77" s="121" t="str">
        <v>2026年全年</v>
      </c>
      <c r="C77" s="123">
        <f>O6</f>
      </c>
      <c r="D77" s="124">
        <f>O16</f>
      </c>
      <c r="E77" s="123">
        <f>O73</f>
      </c>
      <c r="F77" s="122">
        <f>E77/D77</f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>
      <c r="A78" s="1"/>
      <c r="B78" s="121" t="str">
        <v>26年H1</v>
      </c>
      <c r="C78" s="123">
        <f>SUM(C6:H6)</f>
      </c>
      <c r="D78" s="124">
        <f>SUM(C16:H16)</f>
      </c>
      <c r="E78" s="123">
        <f>SUM(C73:H73)</f>
      </c>
      <c r="F78" s="122">
        <f>E78/D78</f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>
      <c r="A79" s="1"/>
      <c r="B79" s="121" t="str">
        <v>26年H2</v>
      </c>
      <c r="C79" s="123">
        <f>SUM(I6:N6)</f>
      </c>
      <c r="D79" s="124">
        <f>SUM(I16:N16)</f>
      </c>
      <c r="E79" s="123">
        <f>SUM(I73:N73)</f>
      </c>
      <c r="F79" s="122">
        <f>E79/D79</f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>
      <c r="A82" s="1"/>
      <c r="B82" s="1"/>
      <c r="C82" s="119">
        <f>C16-C18-C20-C26-C37-C44-C47-C58-C60</f>
      </c>
      <c r="D82" s="158">
        <f>D16-D18-D20-D26-D37-D44-D47-D58-D60</f>
      </c>
      <c r="E82" s="158">
        <f>E16-E18-E20-E26-E37-E44-E47-E58-E60</f>
      </c>
      <c r="F82" s="158">
        <f>F16-F18-F20-F26-F37-F44-F47-F58-F60</f>
      </c>
      <c r="G82" s="158">
        <f>G16-G18-G20-G26-G37-G44-G47-G58-G60</f>
      </c>
      <c r="H82" s="158">
        <f>H16-H18-H20-H26-H37-H44-H47-H58-H60</f>
      </c>
      <c r="I82" s="158">
        <f>I16-I18-I20-I26-I37-I44-I47-I58-I60</f>
      </c>
      <c r="J82" s="158">
        <f>J16-J18-J20-J26-J37-J44-J47-J58-J60</f>
      </c>
      <c r="K82" s="158">
        <f>K16-K18-K20-K26-K37-K44-K47-K58-K60</f>
      </c>
      <c r="L82" s="158">
        <f>L16-L18-L20-L26-L37-L44-L47-L58-L60</f>
      </c>
      <c r="M82" s="158">
        <f>M16-M18-M20-M26-M37-M44-M47-M58-M60</f>
      </c>
      <c r="N82" s="158">
        <f>N16-N18-N20-N26-N37-N44-N47-N58-N60</f>
      </c>
      <c r="O82" s="158">
        <f>O16-O18-O20-O26-O37-O44-O47-O58-O60</f>
      </c>
      <c r="P82" s="1"/>
      <c r="Q82" s="1"/>
      <c r="R82" s="1"/>
      <c r="S82" s="1"/>
      <c r="T82" s="1"/>
    </row>
    <row r="83">
      <c r="A83" s="1"/>
      <c r="B83" s="1"/>
      <c r="C83" s="119">
        <f>C10-C11-C12-C13-C15</f>
      </c>
      <c r="D83" s="119">
        <f>D10-D11-D12-D13-D15</f>
      </c>
      <c r="E83" s="119">
        <f>E10-E11-E12-E13-E15</f>
      </c>
      <c r="F83" s="119">
        <f>F10-F11-F12-F13-F15</f>
      </c>
      <c r="G83" s="119">
        <f>G10-G11-G12-G13-G15</f>
      </c>
      <c r="H83" s="119">
        <f>H10-H11-H12-H13-H15</f>
      </c>
      <c r="I83" s="119">
        <f>I10-I11-I12-I13-I15</f>
      </c>
      <c r="J83" s="119">
        <f>J10-J11-J12-J13-J15</f>
      </c>
      <c r="K83" s="119">
        <f>K10-K11-K12-K13-K15</f>
      </c>
      <c r="L83" s="119">
        <f>L10-L11-L12-L13-L15</f>
      </c>
      <c r="M83" s="119">
        <f>M10-M11-M12-M13-M15</f>
      </c>
      <c r="N83" s="119">
        <f>N10-N11-N12-N13-N15</f>
      </c>
      <c r="O83" s="119">
        <f>O10-O11-O12-O13-O15</f>
      </c>
      <c r="P83" s="1"/>
      <c r="Q83" s="1"/>
      <c r="R83" s="1"/>
      <c r="S83" s="1"/>
      <c r="T83" s="1"/>
    </row>
    <row r="84">
      <c r="A84" s="1"/>
      <c r="B84" s="158"/>
      <c r="C84" s="158">
        <f>C60-'淘系'!C60-'淘系达播'!C60-'抖音'!C60-'抖音达播'!C60-'快手'!C60-'京东POP财经口径'!C60-'京东自营财经口径'!C60-PDD!C60-'得物'!C60-'视频号+官网+小程序'!C60-'唯品会'!C60-'线下门店-直营'!C60-'线下门店-经销'!C60-'线下渠道'!C60</f>
      </c>
      <c r="D84" s="158">
        <f>D60-'淘系'!D60-'淘系达播'!D60-'抖音'!D60-'抖音达播'!D60-'快手'!D60-'京东POP财经口径'!D60-'京东自营财经口径'!D60-PDD!D60-'得物'!D60-'视频号+官网+小程序'!D60-'唯品会'!D60-'线下门店-直营'!D60-'线下门店-经销'!D60-'线下渠道'!D60</f>
      </c>
      <c r="E84" s="158">
        <f>E60-'淘系'!E60-'淘系达播'!E60-'抖音'!E60-'抖音达播'!E60-'快手'!E60-'京东POP财经口径'!E60-'京东自营财经口径'!E60-PDD!E60-'得物'!E60-'视频号+官网+小程序'!E60-'唯品会'!E60-'线下门店-直营'!E60-'线下门店-经销'!E60-'线下渠道'!E60</f>
      </c>
      <c r="F84" s="158">
        <f>F60-'淘系'!F60-'淘系达播'!F60-'抖音'!F60-'抖音达播'!F60-'快手'!F60-'京东POP财经口径'!F60-'京东自营财经口径'!F60-PDD!F60-'得物'!F60-'视频号+官网+小程序'!F60-'唯品会'!F60-'线下门店-直营'!F60-'线下门店-经销'!F60-'线下渠道'!F60</f>
      </c>
      <c r="G84" s="158">
        <f>G60-'淘系'!G60-'淘系达播'!G60-'抖音'!G60-'抖音达播'!G60-'快手'!G60-'京东POP财经口径'!G60-'京东自营财经口径'!G60-PDD!G60-'得物'!G60-'视频号+官网+小程序'!G60-'唯品会'!G60-'线下门店-直营'!G60-'线下门店-经销'!G60-'线下渠道'!G60</f>
      </c>
      <c r="H84" s="158">
        <f>H60-'淘系'!H60-'淘系达播'!H60-'抖音'!H60-'抖音达播'!H60-'快手'!H60-'京东POP财经口径'!H60-'京东自营财经口径'!H60-PDD!H60-'得物'!H60-'视频号+官网+小程序'!H60-'唯品会'!H60-'线下门店-直营'!H60-'线下门店-经销'!H60-'线下渠道'!H60</f>
      </c>
      <c r="I84" s="158">
        <f>I60-'淘系'!I60-'淘系达播'!I60-'抖音'!I60-'抖音达播'!I60-'快手'!I60-'京东POP财经口径'!I60-'京东自营财经口径'!I60-PDD!I60-'得物'!I60-'视频号+官网+小程序'!I60-'唯品会'!I60-'线下门店-直营'!I60-'线下门店-经销'!I60-'线下渠道'!I60</f>
      </c>
      <c r="J84" s="158">
        <f>J60-'淘系'!J60-'淘系达播'!J60-'抖音'!J60-'抖音达播'!J60-'快手'!J60-'京东POP财经口径'!J60-'京东自营财经口径'!J60-PDD!J60-'得物'!J60-'视频号+官网+小程序'!J60-'唯品会'!J60-'线下门店-直营'!J60-'线下门店-经销'!J60-'线下渠道'!J60</f>
      </c>
      <c r="K84" s="158">
        <f>K60-'淘系'!K60-'淘系达播'!K60-'抖音'!K60-'抖音达播'!K60-'快手'!K60-'京东POP财经口径'!K60-'京东自营财经口径'!K60-PDD!K60-'得物'!K60-'视频号+官网+小程序'!K60-'唯品会'!K60-'线下门店-直营'!K60-'线下门店-经销'!K60-'线下渠道'!K60</f>
      </c>
      <c r="L84" s="158">
        <f>L60-'淘系'!L60-'淘系达播'!L60-'抖音'!L60-'抖音达播'!L60-'快手'!L60-'京东POP财经口径'!L60-'京东自营财经口径'!L60-PDD!L60-'得物'!L60-'视频号+官网+小程序'!L60-'唯品会'!L60-'线下门店-直营'!L60-'线下门店-经销'!L60-'线下渠道'!L60</f>
      </c>
      <c r="M84" s="158">
        <f>M60-'淘系'!M60-'淘系达播'!M60-'抖音'!M60-'抖音达播'!M60-'快手'!M60-'京东POP财经口径'!M60-'京东自营财经口径'!M60-PDD!M60-'得物'!M60-'视频号+官网+小程序'!M60-'唯品会'!M60-'线下门店-直营'!M60-'线下门店-经销'!M60-'线下渠道'!M60</f>
      </c>
      <c r="N84" s="158">
        <f>N60-'淘系'!N60-'淘系达播'!N60-'抖音'!N60-'抖音达播'!N60-'快手'!N60-'京东POP财经口径'!N60-'京东自营财经口径'!N60-PDD!N60-'得物'!N60-'视频号+官网+小程序'!N60-'唯品会'!N60-'线下门店-直营'!N60-'线下门店-经销'!N60-'线下渠道'!N60</f>
      </c>
      <c r="O84" s="158">
        <f>O60-'淘系'!O60-'淘系达播'!O60-'抖音'!O60-'抖音达播'!O60-'快手'!O60-'京东POP财经口径'!O60-'京东自营财经口径'!O60-PDD!O60-'得物'!O60-'视频号+官网+小程序'!O60-'唯品会'!O60-'线下门店-直营'!O60-'线下门店-经销'!O60-'线下渠道'!O60</f>
      </c>
      <c r="P84" s="1"/>
      <c r="Q84" s="1"/>
      <c r="R84" s="1"/>
      <c r="S84" s="1"/>
      <c r="T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>
      <c r="A92" s="1"/>
      <c r="B92" s="129" t="str">
        <v>品牌及内容费用</v>
      </c>
      <c r="C92" s="129">
        <v>590816.1061946903</v>
      </c>
      <c r="D92" s="129">
        <v>1555478.5791543757</v>
      </c>
      <c r="E92" s="129">
        <v>2581397.188790561</v>
      </c>
      <c r="F92" s="129">
        <v>1541409.8141592925</v>
      </c>
      <c r="G92" s="129">
        <v>6001680.8185840715</v>
      </c>
      <c r="H92" s="129">
        <v>3561493.4657079643</v>
      </c>
      <c r="I92" s="129">
        <v>824897.7035398232</v>
      </c>
      <c r="J92" s="129">
        <v>1275088.216814159</v>
      </c>
      <c r="K92" s="129">
        <v>1059422.3318584068</v>
      </c>
      <c r="L92" s="129">
        <v>3244700.9707857985</v>
      </c>
      <c r="M92" s="129">
        <v>1405007.9768632057</v>
      </c>
      <c r="N92" s="129">
        <v>917198.1602516262</v>
      </c>
      <c r="O92" s="129">
        <v>24558591.332703978</v>
      </c>
      <c r="P92" s="128">
        <v>0.06159487030185407</v>
      </c>
      <c r="Q92" s="1"/>
      <c r="R92" s="1"/>
      <c r="S92" s="1"/>
      <c r="T92" s="1"/>
    </row>
    <row r="93">
      <c r="A93" s="1"/>
      <c r="B93" s="117" t="str">
        <v>展会</v>
      </c>
      <c r="C93" s="117">
        <v>0</v>
      </c>
      <c r="D93" s="117">
        <v>0</v>
      </c>
      <c r="E93" s="117">
        <v>64814.26745329402</v>
      </c>
      <c r="F93" s="117">
        <v>54155.07374631271</v>
      </c>
      <c r="G93" s="117">
        <v>115388.16371681416</v>
      </c>
      <c r="H93" s="117">
        <v>101584.80199115047</v>
      </c>
      <c r="I93" s="117">
        <v>65500.287610619496</v>
      </c>
      <c r="J93" s="117">
        <v>90329.93362831855</v>
      </c>
      <c r="K93" s="117">
        <v>72053.16371681415</v>
      </c>
      <c r="L93" s="117">
        <v>121420.23883143195</v>
      </c>
      <c r="M93" s="117">
        <v>91985.61360486197</v>
      </c>
      <c r="N93" s="117">
        <v>0</v>
      </c>
      <c r="O93" s="117">
        <v>777231.5442996175</v>
      </c>
      <c r="P93" s="120">
        <v>0.001949357579882562</v>
      </c>
      <c r="Q93" s="1"/>
      <c r="R93" s="1"/>
      <c r="S93" s="1"/>
      <c r="T93" s="1"/>
    </row>
    <row r="94">
      <c r="A94" s="1"/>
      <c r="B94" s="117" t="str">
        <v>品牌营销</v>
      </c>
      <c r="C94" s="117">
        <v>209195</v>
      </c>
      <c r="D94" s="117">
        <v>209195</v>
      </c>
      <c r="E94" s="117">
        <v>209195</v>
      </c>
      <c r="F94" s="117">
        <v>274181.0884955753</v>
      </c>
      <c r="G94" s="117">
        <v>901523.9823008858</v>
      </c>
      <c r="H94" s="117">
        <v>534266.3663716814</v>
      </c>
      <c r="I94" s="117">
        <v>209195</v>
      </c>
      <c r="J94" s="117">
        <v>317590.9203539823</v>
      </c>
      <c r="K94" s="117">
        <v>439765.12389380526</v>
      </c>
      <c r="L94" s="117">
        <v>354899.28659771837</v>
      </c>
      <c r="M94" s="117">
        <v>319577.73632583447</v>
      </c>
      <c r="N94" s="117">
        <v>209195</v>
      </c>
      <c r="O94" s="117">
        <v>4187779.504339483</v>
      </c>
      <c r="P94" s="120">
        <v>0.010503278951470404</v>
      </c>
      <c r="Q94" s="1"/>
      <c r="R94" s="1"/>
      <c r="S94" s="1"/>
      <c r="T94" s="1"/>
    </row>
    <row r="95">
      <c r="A95" s="1"/>
      <c r="B95" s="117" t="str">
        <v>内容素材制作</v>
      </c>
      <c r="C95" s="117">
        <v>31801.758849557526</v>
      </c>
      <c r="D95" s="117">
        <v>25890.068829891843</v>
      </c>
      <c r="E95" s="117">
        <v>25925.706981317602</v>
      </c>
      <c r="F95" s="117">
        <v>108310.14749262542</v>
      </c>
      <c r="G95" s="117">
        <v>692328.9823008849</v>
      </c>
      <c r="H95" s="117">
        <v>446973.1287610621</v>
      </c>
      <c r="I95" s="117">
        <v>0</v>
      </c>
      <c r="J95" s="117">
        <v>108395.92035398229</v>
      </c>
      <c r="K95" s="117">
        <v>230570.1238938053</v>
      </c>
      <c r="L95" s="117">
        <v>242840.4776628639</v>
      </c>
      <c r="M95" s="117">
        <v>183971.22720972393</v>
      </c>
      <c r="N95" s="117">
        <v>32181.961829619366</v>
      </c>
      <c r="O95" s="117">
        <v>2129189.5041653346</v>
      </c>
      <c r="P95" s="120">
        <v>0.00534017401814443</v>
      </c>
      <c r="Q95" s="1"/>
      <c r="R95" s="1"/>
      <c r="S95" s="1"/>
      <c r="T95" s="1"/>
    </row>
    <row r="96">
      <c r="A96" s="1"/>
      <c r="B96" s="117" t="str">
        <v>公关费用</v>
      </c>
      <c r="C96" s="117">
        <v>31801.758849557526</v>
      </c>
      <c r="D96" s="117">
        <v>25890.068829891843</v>
      </c>
      <c r="E96" s="117">
        <v>207405.65585054082</v>
      </c>
      <c r="F96" s="117">
        <v>21662.029498525084</v>
      </c>
      <c r="G96" s="117">
        <v>138465.79646017702</v>
      </c>
      <c r="H96" s="117">
        <v>40633.92079646019</v>
      </c>
      <c r="I96" s="117">
        <v>26200.115044247796</v>
      </c>
      <c r="J96" s="117">
        <v>36131.973451327445</v>
      </c>
      <c r="K96" s="117">
        <v>28821.265486725664</v>
      </c>
      <c r="L96" s="117">
        <v>97136.19106514555</v>
      </c>
      <c r="M96" s="117">
        <v>73588.49088388958</v>
      </c>
      <c r="N96" s="117">
        <v>32181.961829619366</v>
      </c>
      <c r="O96" s="117">
        <v>759919.2280461078</v>
      </c>
      <c r="P96" s="120">
        <v>0.0019059369349516948</v>
      </c>
      <c r="Q96" s="1"/>
      <c r="R96" s="1"/>
      <c r="S96" s="1"/>
      <c r="T96" s="1"/>
    </row>
    <row r="97">
      <c r="A97" s="1"/>
      <c r="B97" s="117" t="str">
        <v>达人种草、样机及加热</v>
      </c>
      <c r="C97" s="117">
        <v>318017.5884955753</v>
      </c>
      <c r="D97" s="117">
        <v>1294503.441494592</v>
      </c>
      <c r="E97" s="117">
        <v>2074056.5585054087</v>
      </c>
      <c r="F97" s="117">
        <v>1083101.474926254</v>
      </c>
      <c r="G97" s="117">
        <v>4153973.893805309</v>
      </c>
      <c r="H97" s="117">
        <v>2438035.24778761</v>
      </c>
      <c r="I97" s="117">
        <v>524002.30088495597</v>
      </c>
      <c r="J97" s="117">
        <v>722639.4690265484</v>
      </c>
      <c r="K97" s="117">
        <v>288212.6548672566</v>
      </c>
      <c r="L97" s="117">
        <v>2428404.7766286386</v>
      </c>
      <c r="M97" s="117">
        <v>735884.9088388957</v>
      </c>
      <c r="N97" s="117">
        <v>643639.2365923874</v>
      </c>
      <c r="O97" s="117">
        <v>16704471.551853433</v>
      </c>
      <c r="P97" s="120">
        <v>0.04189612281740498</v>
      </c>
      <c r="Q97" s="1"/>
      <c r="R97" s="1"/>
      <c r="S97" s="1"/>
      <c r="T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</sheetData>
  <legacyDrawing r:id="rId1"/>
  <picture r:id="rId3"/>
</worksheet>
</file>

<file path=xl/worksheets/sheet9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32"/>
    <col collapsed="false" customWidth="true" hidden="false" max="2" min="2" style="0" width="32"/>
  </cols>
  <sheetData>
    <row r="1">
      <c r="A1" s="1" t="str">
        <v>投放要的数据</v>
      </c>
      <c r="B1" s="1" t="str">
        <v>剔除线下和达播营收后的国补前GSV税后</v>
      </c>
    </row>
    <row r="2">
      <c r="A2" s="1" t="str">
        <v>线下营收占比</v>
      </c>
      <c r="B2" s="54">
        <v>0.124523724075262</v>
      </c>
    </row>
    <row r="3">
      <c r="A3" s="1" t="str">
        <v>国补率</v>
      </c>
      <c r="B3" s="44">
        <v>0.1</v>
      </c>
    </row>
    <row customHeight="true" ht="19" r="4">
      <c r="A4" s="1" t="str">
        <v>国补后GSV税后</v>
      </c>
      <c r="B4" s="169">
        <f>451476900/1.13</f>
      </c>
    </row>
    <row customHeight="true" ht="65.72489626556016" r="5">
      <c r="A5" s="1" t="str">
        <v>国补前GSV税后</v>
      </c>
      <c r="B5" s="169">
        <f>B4/(1-B3)</f>
      </c>
    </row>
    <row customHeight="true" ht="19" r="6">
      <c r="A6" s="1" t="str">
        <v>达播国补前GSV税后</v>
      </c>
      <c r="B6" s="1">
        <f>(3520268.21+7980518.56)/1.13</f>
      </c>
    </row>
    <row r="7">
      <c r="A7" s="1" t="str">
        <v>剔除线下和达播国补前GSV税后</v>
      </c>
      <c r="B7" s="1">
        <f>B5*(1-B2)-B6</f>
      </c>
    </row>
    <row r="8">
      <c r="A8" s="1" t="str">
        <v>财经口径推广费率</v>
      </c>
      <c r="B8" s="44">
        <v>0.22</v>
      </c>
    </row>
    <row r="9">
      <c r="B9" s="1"/>
    </row>
    <row r="10">
      <c r="A10" s="1" t="str">
        <v>投放可支配费用</v>
      </c>
      <c r="B10" s="7">
        <v>85503057.34235</v>
      </c>
    </row>
    <row r="11">
      <c r="B11" s="160">
        <f>B10/B7</f>
      </c>
    </row>
    <row r="12">
      <c r="C12" s="1" t="str">
        <v>营业收入</v>
      </c>
      <c r="D12" s="1" t="str">
        <v>剔除线下后收入</v>
      </c>
      <c r="E12" s="1" t="str">
        <v>推广费率</v>
      </c>
    </row>
    <row r="13">
      <c r="C13" s="1">
        <v>399537079.6460178</v>
      </c>
      <c r="D13" s="1">
        <v>388650260.647046</v>
      </c>
      <c r="E13" s="160">
        <v>0.22</v>
      </c>
    </row>
    <row r="14">
      <c r="C14" s="1"/>
      <c r="D14" s="1"/>
      <c r="E14" s="1"/>
    </row>
    <row r="15">
      <c r="C15" s="1"/>
      <c r="D15" s="1" t="str">
        <v>以推广费用率为准</v>
      </c>
      <c r="E15" s="1"/>
    </row>
    <row r="16">
      <c r="C16" s="7"/>
      <c r="D16" s="7">
        <v>85503057.34235</v>
      </c>
      <c r="E16" s="1"/>
    </row>
    <row r="17">
      <c r="C17" s="1"/>
      <c r="D17" s="1"/>
      <c r="E17" s="1"/>
    </row>
    <row r="18">
      <c r="C18" s="160"/>
      <c r="D18" s="7">
        <f>D13*E13</f>
      </c>
      <c r="E18" s="1"/>
    </row>
  </sheetData>
  <drawing r:id="rId1"/>
  <picture r:id="rId2"/>
</worksheet>
</file>

<file path=xl/worksheets/sheet10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tabColor rgb="FF34c724"/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A1" s="1"/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  <c r="R1" s="54"/>
      <c r="S1" s="1"/>
      <c r="T1" s="1"/>
    </row>
    <row r="2">
      <c r="A2" s="1"/>
      <c r="B2" s="90" t="str">
        <v>退后销量</v>
      </c>
      <c r="C2" s="118">
        <f>'淘系'!C2+'淘系达播'!C2</f>
      </c>
      <c r="D2" s="118">
        <f>'淘系'!D2+'淘系达播'!D2</f>
      </c>
      <c r="E2" s="118">
        <f>'淘系'!E2+'淘系达播'!E2</f>
      </c>
      <c r="F2" s="118">
        <f>'淘系'!F2+'淘系达播'!F2</f>
      </c>
      <c r="G2" s="118">
        <f>'淘系'!G2+'淘系达播'!G2</f>
      </c>
      <c r="H2" s="118">
        <f>'淘系'!H2+'淘系达播'!H2</f>
      </c>
      <c r="I2" s="118">
        <f>'淘系'!I2+'淘系达播'!I2</f>
      </c>
      <c r="J2" s="118">
        <f>'淘系'!J2+'淘系达播'!J2</f>
      </c>
      <c r="K2" s="118">
        <f>'淘系'!K2+'淘系达播'!K2</f>
      </c>
      <c r="L2" s="118">
        <f>'淘系'!L2+'淘系达播'!L2</f>
      </c>
      <c r="M2" s="118">
        <f>'淘系'!M2+'淘系达播'!M2</f>
      </c>
      <c r="N2" s="118">
        <f>'淘系'!N2+'淘系达播'!N2</f>
      </c>
      <c r="O2" s="118">
        <f>SUM(C2:N2)</f>
      </c>
      <c r="P2" s="118"/>
      <c r="Q2" s="1"/>
      <c r="R2" s="54"/>
      <c r="S2" s="1"/>
      <c r="T2" s="1"/>
    </row>
    <row r="3">
      <c r="A3" s="135"/>
      <c r="B3" s="94" t="str">
        <v>自补前GMV</v>
      </c>
      <c r="C3" s="94">
        <f>'淘系'!C3+'淘系达播'!C3</f>
      </c>
      <c r="D3" s="94">
        <f>'淘系'!D3+'淘系达播'!D3</f>
      </c>
      <c r="E3" s="94">
        <f>'淘系'!E3+'淘系达播'!E3</f>
      </c>
      <c r="F3" s="94">
        <f>'淘系'!F3+'淘系达播'!F3</f>
      </c>
      <c r="G3" s="94">
        <f>'淘系'!G3+'淘系达播'!G3</f>
      </c>
      <c r="H3" s="94">
        <f>'淘系'!H3+'淘系达播'!H3</f>
      </c>
      <c r="I3" s="94">
        <f>'淘系'!I3+'淘系达播'!I3</f>
      </c>
      <c r="J3" s="94">
        <f>'淘系'!J3+'淘系达播'!J3</f>
      </c>
      <c r="K3" s="94">
        <f>'淘系'!K3+'淘系达播'!K3</f>
      </c>
      <c r="L3" s="94">
        <f>'淘系'!L3+'淘系达播'!L3</f>
      </c>
      <c r="M3" s="94">
        <f>'淘系'!M3+'淘系达播'!M3</f>
      </c>
      <c r="N3" s="94">
        <f>'淘系'!N3+'淘系达播'!N3</f>
      </c>
      <c r="O3" s="94">
        <f>SUM(C3:N3)</f>
      </c>
      <c r="P3" s="94"/>
      <c r="Q3" s="146" t="str">
        <v>渠道填写</v>
      </c>
      <c r="R3" s="54"/>
      <c r="S3" s="1"/>
      <c r="T3" s="1"/>
    </row>
    <row r="4">
      <c r="A4" s="135"/>
      <c r="B4" s="94" t="str">
        <v>自补前GSV</v>
      </c>
      <c r="C4" s="94">
        <f>'淘系'!C4+'淘系达播'!C4</f>
      </c>
      <c r="D4" s="94">
        <f>'淘系'!D4+'淘系达播'!D4</f>
      </c>
      <c r="E4" s="94">
        <f>'淘系'!E4+'淘系达播'!E4</f>
      </c>
      <c r="F4" s="94">
        <f>'淘系'!F4+'淘系达播'!F4</f>
      </c>
      <c r="G4" s="94">
        <f>'淘系'!G4+'淘系达播'!G4</f>
      </c>
      <c r="H4" s="94">
        <f>'淘系'!H4+'淘系达播'!H4</f>
      </c>
      <c r="I4" s="94">
        <f>'淘系'!I4+'淘系达播'!I4</f>
      </c>
      <c r="J4" s="94">
        <f>'淘系'!J4+'淘系达播'!J4</f>
      </c>
      <c r="K4" s="94">
        <f>'淘系'!K4+'淘系达播'!K4</f>
      </c>
      <c r="L4" s="94">
        <f>'淘系'!L4+'淘系达播'!L4</f>
      </c>
      <c r="M4" s="94">
        <f>'淘系'!M4+'淘系达播'!M4</f>
      </c>
      <c r="N4" s="94">
        <f>'淘系'!N4+'淘系达播'!N4</f>
      </c>
      <c r="O4" s="94">
        <f>SUM(C4:N4)</f>
      </c>
      <c r="P4" s="94"/>
      <c r="Q4" s="146" t="str">
        <v>渠道填写</v>
      </c>
      <c r="R4" s="54"/>
      <c r="S4" s="1"/>
      <c r="T4" s="1"/>
    </row>
    <row r="5">
      <c r="A5" s="135"/>
      <c r="B5" s="94" t="str">
        <v>国补自补费用</v>
      </c>
      <c r="C5" s="94">
        <f>'淘系'!C5+'淘系达播'!C5</f>
      </c>
      <c r="D5" s="94">
        <f>'淘系'!D5+'淘系达播'!D5</f>
      </c>
      <c r="E5" s="94">
        <f>'淘系'!E5+'淘系达播'!E5</f>
      </c>
      <c r="F5" s="94">
        <f>'淘系'!F5+'淘系达播'!F5</f>
      </c>
      <c r="G5" s="94">
        <f>'淘系'!G5+'淘系达播'!G5</f>
      </c>
      <c r="H5" s="94">
        <f>'淘系'!H5+'淘系达播'!H5</f>
      </c>
      <c r="I5" s="94">
        <f>'淘系'!I5+'淘系达播'!I5</f>
      </c>
      <c r="J5" s="94">
        <f>'淘系'!J5+'淘系达播'!J5</f>
      </c>
      <c r="K5" s="94">
        <f>'淘系'!K5+'淘系达播'!K5</f>
      </c>
      <c r="L5" s="94">
        <f>'淘系'!L5+'淘系达播'!L5</f>
      </c>
      <c r="M5" s="94">
        <f>'淘系'!M5+'淘系达播'!M5</f>
      </c>
      <c r="N5" s="94">
        <f>'淘系'!N5+'淘系达播'!N5</f>
      </c>
      <c r="O5" s="94">
        <f>SUM(C5:N5)</f>
      </c>
      <c r="P5" s="94"/>
      <c r="Q5" s="146" t="str">
        <v>渠道填写</v>
      </c>
      <c r="R5" s="54"/>
      <c r="S5" s="1"/>
      <c r="T5" s="1"/>
    </row>
    <row r="6">
      <c r="A6" s="135"/>
      <c r="B6" s="98" t="str">
        <v>GMV（国补后）</v>
      </c>
      <c r="C6" s="98">
        <f>'淘系'!C6+'淘系达播'!C6</f>
      </c>
      <c r="D6" s="98">
        <f>'淘系'!D6+'淘系达播'!D6</f>
      </c>
      <c r="E6" s="98">
        <f>'淘系'!E6+'淘系达播'!E6</f>
      </c>
      <c r="F6" s="98">
        <f>'淘系'!F6+'淘系达播'!F6</f>
      </c>
      <c r="G6" s="98">
        <f>'淘系'!G6+'淘系达播'!G6</f>
      </c>
      <c r="H6" s="98">
        <f>'淘系'!H6+'淘系达播'!H6</f>
      </c>
      <c r="I6" s="98">
        <f>'淘系'!I6+'淘系达播'!I6</f>
      </c>
      <c r="J6" s="98">
        <f>'淘系'!J6+'淘系达播'!J6</f>
      </c>
      <c r="K6" s="98">
        <f>'淘系'!K6+'淘系达播'!K6</f>
      </c>
      <c r="L6" s="98">
        <f>'淘系'!L6+'淘系达播'!L6</f>
      </c>
      <c r="M6" s="98">
        <f>'淘系'!M6+'淘系达播'!M6</f>
      </c>
      <c r="N6" s="98">
        <f>'淘系'!N6+'淘系达播'!N6</f>
      </c>
      <c r="O6" s="98">
        <f>SUM(C6:N6)</f>
      </c>
      <c r="P6" s="98"/>
      <c r="Q6" s="146" t="str">
        <v>渠道填写</v>
      </c>
      <c r="R6" s="54"/>
      <c r="S6" s="1"/>
      <c r="T6" s="1"/>
    </row>
    <row r="7">
      <c r="A7" s="135"/>
      <c r="B7" s="102" t="str">
        <v>退货率（发货前+后）</v>
      </c>
      <c r="C7" s="102">
        <v>0.231164863</v>
      </c>
      <c r="D7" s="102">
        <v>0.230930107</v>
      </c>
      <c r="E7" s="102">
        <v>0.242520136</v>
      </c>
      <c r="F7" s="102">
        <v>0.192163201</v>
      </c>
      <c r="G7" s="102">
        <v>0.243339432</v>
      </c>
      <c r="H7" s="102">
        <v>0.193269715</v>
      </c>
      <c r="I7" s="102">
        <v>0.250834024</v>
      </c>
      <c r="J7" s="102">
        <v>0.290000005</v>
      </c>
      <c r="K7" s="102">
        <v>0.357879204</v>
      </c>
      <c r="L7" s="102">
        <v>0.28147665</v>
      </c>
      <c r="M7" s="102">
        <v>0.299750186</v>
      </c>
      <c r="N7" s="102">
        <v>0.250757301</v>
      </c>
      <c r="O7" s="102">
        <f>1-O8/O6</f>
      </c>
      <c r="P7" s="102"/>
      <c r="Q7" s="1" t="str">
        <v>渠道填写</v>
      </c>
      <c r="R7" s="54"/>
      <c r="S7" s="1"/>
      <c r="T7" s="1"/>
    </row>
    <row r="8">
      <c r="A8" s="135"/>
      <c r="B8" s="98" t="str">
        <v>GSV（国补后）</v>
      </c>
      <c r="C8" s="98">
        <f>'淘系'!C8+'淘系达播'!C8</f>
      </c>
      <c r="D8" s="98">
        <f>'淘系'!D8+'淘系达播'!D8</f>
      </c>
      <c r="E8" s="98">
        <f>'淘系'!E8+'淘系达播'!E8</f>
      </c>
      <c r="F8" s="98">
        <f>'淘系'!F8+'淘系达播'!F8</f>
      </c>
      <c r="G8" s="98">
        <f>'淘系'!G8+'淘系达播'!G8</f>
      </c>
      <c r="H8" s="98">
        <f>'淘系'!H8+'淘系达播'!H8</f>
      </c>
      <c r="I8" s="98">
        <f>'淘系'!I8+'淘系达播'!I8</f>
      </c>
      <c r="J8" s="98">
        <f>'淘系'!J8+'淘系达播'!J8</f>
      </c>
      <c r="K8" s="98">
        <f>'淘系'!K8+'淘系达播'!K8</f>
      </c>
      <c r="L8" s="98">
        <f>'淘系'!L8+'淘系达播'!L8</f>
      </c>
      <c r="M8" s="98">
        <f>'淘系'!M8+'淘系达播'!M8</f>
      </c>
      <c r="N8" s="98">
        <f>'淘系'!N8+'淘系达播'!N8</f>
      </c>
      <c r="O8" s="98">
        <f>SUM(C8:N8)</f>
      </c>
      <c r="P8" s="98"/>
      <c r="Q8" s="1" t="str">
        <v>渠道填写</v>
      </c>
      <c r="R8" s="54"/>
      <c r="S8" s="1"/>
      <c r="T8" s="1"/>
    </row>
    <row r="9">
      <c r="A9" s="1"/>
      <c r="B9" s="90"/>
      <c r="C9" s="88">
        <f>'淘系'!C9+'淘系达播'!C9</f>
      </c>
      <c r="D9" s="118">
        <f>'淘系'!D9+'淘系达播'!D9</f>
      </c>
      <c r="E9" s="118">
        <f>'淘系'!E9+'淘系达播'!E9</f>
      </c>
      <c r="F9" s="118">
        <f>'淘系'!F9+'淘系达播'!F9</f>
      </c>
      <c r="G9" s="118">
        <f>'淘系'!G9+'淘系达播'!G9</f>
      </c>
      <c r="H9" s="118">
        <f>'淘系'!H9+'淘系达播'!H9</f>
      </c>
      <c r="I9" s="118">
        <f>'淘系'!I9+'淘系达播'!I9</f>
      </c>
      <c r="J9" s="118">
        <f>'淘系'!J9+'淘系达播'!J9</f>
      </c>
      <c r="K9" s="118">
        <f>'淘系'!K9+'淘系达播'!K9</f>
      </c>
      <c r="L9" s="118">
        <f>'淘系'!L9+'淘系达播'!L9</f>
      </c>
      <c r="M9" s="118">
        <f>'淘系'!M9+'淘系达播'!M9</f>
      </c>
      <c r="N9" s="118">
        <f>'淘系'!N9+'淘系达播'!N9</f>
      </c>
      <c r="O9" s="88">
        <f>O8+O14-O10</f>
      </c>
      <c r="P9" s="118"/>
      <c r="Q9" s="1"/>
      <c r="R9" s="54"/>
      <c r="S9" s="1"/>
      <c r="T9" s="1"/>
    </row>
    <row r="10">
      <c r="A10" s="135"/>
      <c r="B10" s="98" t="str">
        <v>零售价</v>
      </c>
      <c r="C10" s="98">
        <f>'淘系'!C10+'淘系达播'!C10</f>
      </c>
      <c r="D10" s="98">
        <f>'淘系'!D10+'淘系达播'!D10</f>
      </c>
      <c r="E10" s="98">
        <f>'淘系'!E10+'淘系达播'!E10</f>
      </c>
      <c r="F10" s="98">
        <f>'淘系'!F10+'淘系达播'!F10</f>
      </c>
      <c r="G10" s="98">
        <f>'淘系'!G10+'淘系达播'!G10</f>
      </c>
      <c r="H10" s="98">
        <f>'淘系'!H10+'淘系达播'!H10</f>
      </c>
      <c r="I10" s="98">
        <f>'淘系'!I10+'淘系达播'!I10</f>
      </c>
      <c r="J10" s="98">
        <f>'淘系'!J10+'淘系达播'!J10</f>
      </c>
      <c r="K10" s="98">
        <f>'淘系'!K10+'淘系达播'!K10</f>
      </c>
      <c r="L10" s="98">
        <f>'淘系'!L10+'淘系达播'!L10</f>
      </c>
      <c r="M10" s="98">
        <f>'淘系'!M10+'淘系达播'!M10</f>
      </c>
      <c r="N10" s="98">
        <f>'淘系'!N10+'淘系达播'!N10</f>
      </c>
      <c r="O10" s="98">
        <f>SUM(C10:N10)</f>
      </c>
      <c r="P10" s="98"/>
      <c r="Q10" s="126" t="str">
        <v>渠道填写</v>
      </c>
      <c r="R10" s="54"/>
      <c r="S10" s="1"/>
      <c r="T10" s="1"/>
    </row>
    <row r="11">
      <c r="A11" s="1"/>
      <c r="B11" s="85" t="str">
        <v>合同折扣及返利 (线下）</v>
      </c>
      <c r="C11" s="127">
        <f>'淘系'!C11+'淘系达播'!C11</f>
      </c>
      <c r="D11" s="127">
        <f>'淘系'!D11+'淘系达播'!D11</f>
      </c>
      <c r="E11" s="127">
        <f>'淘系'!E11+'淘系达播'!E11</f>
      </c>
      <c r="F11" s="127">
        <f>'淘系'!F11+'淘系达播'!F11</f>
      </c>
      <c r="G11" s="127">
        <f>'淘系'!G11+'淘系达播'!G11</f>
      </c>
      <c r="H11" s="127">
        <f>'淘系'!H11+'淘系达播'!H11</f>
      </c>
      <c r="I11" s="127">
        <f>'淘系'!I11+'淘系达播'!I11</f>
      </c>
      <c r="J11" s="127">
        <f>'淘系'!J11+'淘系达播'!J11</f>
      </c>
      <c r="K11" s="127">
        <f>'淘系'!K11+'淘系达播'!K11</f>
      </c>
      <c r="L11" s="127">
        <f>'淘系'!L11+'淘系达播'!L11</f>
      </c>
      <c r="M11" s="127">
        <f>'淘系'!M11+'淘系达播'!M11</f>
      </c>
      <c r="N11" s="127">
        <f>'淘系'!N11+'淘系达播'!N11</f>
      </c>
      <c r="O11" s="127">
        <f>SUM(C11:N11)</f>
      </c>
      <c r="P11" s="127"/>
      <c r="Q11" s="1" t="str">
        <v>线下渠道填写</v>
      </c>
      <c r="R11" s="54"/>
      <c r="S11" s="1"/>
      <c r="T11" s="1"/>
    </row>
    <row r="12">
      <c r="A12" s="1"/>
      <c r="B12" s="85" t="str">
        <v>国补自补 （线上）</v>
      </c>
      <c r="C12" s="127">
        <f>'淘系'!C12+'淘系达播'!C12</f>
      </c>
      <c r="D12" s="127">
        <f>'淘系'!D12+'淘系达播'!D12</f>
      </c>
      <c r="E12" s="127">
        <f>'淘系'!E12+'淘系达播'!E12</f>
      </c>
      <c r="F12" s="127">
        <f>'淘系'!F12+'淘系达播'!F12</f>
      </c>
      <c r="G12" s="127">
        <f>'淘系'!G12+'淘系达播'!G12</f>
      </c>
      <c r="H12" s="127">
        <f>'淘系'!H12+'淘系达播'!H12</f>
      </c>
      <c r="I12" s="127">
        <f>'淘系'!I12+'淘系达播'!I12</f>
      </c>
      <c r="J12" s="127">
        <f>'淘系'!J12+'淘系达播'!J12</f>
      </c>
      <c r="K12" s="127">
        <f>'淘系'!K12+'淘系达播'!K12</f>
      </c>
      <c r="L12" s="127">
        <f>'淘系'!L12+'淘系达播'!L12</f>
      </c>
      <c r="M12" s="127">
        <f>'淘系'!M12+'淘系达播'!M12</f>
      </c>
      <c r="N12" s="127">
        <f>'淘系'!N12+'淘系达播'!N12</f>
      </c>
      <c r="O12" s="127">
        <f>SUM(C12:N12)</f>
      </c>
      <c r="P12" s="173">
        <v>0.15</v>
      </c>
      <c r="Q12" s="1" t="str">
        <v>渠道填写</v>
      </c>
      <c r="R12" s="54">
        <f>O12/$O$10</f>
      </c>
      <c r="S12" s="1"/>
      <c r="T12" s="1"/>
    </row>
    <row r="13">
      <c r="A13" s="1"/>
      <c r="B13" s="174" t="str">
        <v>红包消费券等促销折扣</v>
      </c>
      <c r="C13" s="127">
        <f>'淘系'!C13+'淘系达播'!C13</f>
      </c>
      <c r="D13" s="127">
        <f>'淘系'!D13+'淘系达播'!D13</f>
      </c>
      <c r="E13" s="127">
        <f>'淘系'!E13+'淘系达播'!E13</f>
      </c>
      <c r="F13" s="127">
        <f>'淘系'!F13+'淘系达播'!F13</f>
      </c>
      <c r="G13" s="127">
        <f>'淘系'!G13+'淘系达播'!G13</f>
      </c>
      <c r="H13" s="127">
        <f>'淘系'!H13+'淘系达播'!H13</f>
      </c>
      <c r="I13" s="127">
        <f>'淘系'!I13+'淘系达播'!I13</f>
      </c>
      <c r="J13" s="127">
        <f>'淘系'!J13+'淘系达播'!J13</f>
      </c>
      <c r="K13" s="127">
        <f>'淘系'!K13+'淘系达播'!K13</f>
      </c>
      <c r="L13" s="127">
        <f>'淘系'!L13+'淘系达播'!L13</f>
      </c>
      <c r="M13" s="127">
        <f>'淘系'!M13+'淘系达播'!M13</f>
      </c>
      <c r="N13" s="127">
        <f>'淘系'!N13+'淘系达播'!N13</f>
      </c>
      <c r="O13" s="127">
        <f>SUM(C13:N13)</f>
      </c>
      <c r="P13" s="127"/>
      <c r="Q13" s="1" t="str">
        <v>渠道填写</v>
      </c>
      <c r="R13" s="54">
        <f>O13/$O$10</f>
      </c>
      <c r="S13" s="1"/>
      <c r="T13" s="1"/>
    </row>
    <row r="14">
      <c r="A14" s="1"/>
      <c r="B14" s="83" t="str">
        <v>TTL 折扣合计</v>
      </c>
      <c r="C14" s="115">
        <f>'淘系'!C14+'淘系达播'!C14</f>
      </c>
      <c r="D14" s="115">
        <f>'淘系'!D14+'淘系达播'!D14</f>
      </c>
      <c r="E14" s="115">
        <f>'淘系'!E14+'淘系达播'!E14</f>
      </c>
      <c r="F14" s="115">
        <f>'淘系'!F14+'淘系达播'!F14</f>
      </c>
      <c r="G14" s="115">
        <f>'淘系'!G14+'淘系达播'!G14</f>
      </c>
      <c r="H14" s="115">
        <f>'淘系'!H14+'淘系达播'!H14</f>
      </c>
      <c r="I14" s="115">
        <f>'淘系'!I14+'淘系达播'!I14</f>
      </c>
      <c r="J14" s="115">
        <f>'淘系'!J14+'淘系达播'!J14</f>
      </c>
      <c r="K14" s="115">
        <f>'淘系'!K14+'淘系达播'!K14</f>
      </c>
      <c r="L14" s="115">
        <f>'淘系'!L14+'淘系达播'!L14</f>
      </c>
      <c r="M14" s="115">
        <f>'淘系'!M14+'淘系达播'!M14</f>
      </c>
      <c r="N14" s="115">
        <f>'淘系'!N14+'淘系达播'!N14</f>
      </c>
      <c r="O14" s="115">
        <f>SUM(C14:N14)</f>
      </c>
      <c r="P14" s="115"/>
      <c r="Q14" s="1"/>
      <c r="R14" s="54">
        <f>O14/$O$10</f>
      </c>
      <c r="S14" s="1"/>
      <c r="T14" s="1"/>
    </row>
    <row r="15">
      <c r="A15" s="135"/>
      <c r="B15" s="98" t="str">
        <v>GSV</v>
      </c>
      <c r="C15" s="98">
        <f>'淘系'!C15+'淘系达播'!C15</f>
      </c>
      <c r="D15" s="98">
        <f>'淘系'!D15+'淘系达播'!D15</f>
      </c>
      <c r="E15" s="98">
        <f>'淘系'!E15+'淘系达播'!E15</f>
      </c>
      <c r="F15" s="98">
        <f>'淘系'!F15+'淘系达播'!F15</f>
      </c>
      <c r="G15" s="98">
        <f>'淘系'!G15+'淘系达播'!G15</f>
      </c>
      <c r="H15" s="98">
        <f>'淘系'!H15+'淘系达播'!H15</f>
      </c>
      <c r="I15" s="98">
        <f>'淘系'!I15+'淘系达播'!I15</f>
      </c>
      <c r="J15" s="98">
        <f>'淘系'!J15+'淘系达播'!J15</f>
      </c>
      <c r="K15" s="98">
        <f>'淘系'!K15+'淘系达播'!K15</f>
      </c>
      <c r="L15" s="98">
        <f>'淘系'!L15+'淘系达播'!L15</f>
      </c>
      <c r="M15" s="98">
        <f>'淘系'!M15+'淘系达播'!M15</f>
      </c>
      <c r="N15" s="98">
        <f>'淘系'!N15+'淘系达播'!N15</f>
      </c>
      <c r="O15" s="98">
        <f>SUM(C15:N15)</f>
      </c>
      <c r="P15" s="98"/>
      <c r="Q15" s="1"/>
      <c r="R15" s="54"/>
      <c r="S15" s="1"/>
      <c r="T15" s="1"/>
    </row>
    <row r="16">
      <c r="A16" s="135"/>
      <c r="B16" s="98" t="str">
        <v>营业收入</v>
      </c>
      <c r="C16" s="98">
        <f>'淘系'!C16+'淘系达播'!C16</f>
      </c>
      <c r="D16" s="98">
        <f>'淘系'!D16+'淘系达播'!D16</f>
      </c>
      <c r="E16" s="98">
        <f>'淘系'!E16+'淘系达播'!E16</f>
      </c>
      <c r="F16" s="98">
        <f>'淘系'!F16+'淘系达播'!F16</f>
      </c>
      <c r="G16" s="98">
        <f>'淘系'!G16+'淘系达播'!G16</f>
      </c>
      <c r="H16" s="98">
        <f>'淘系'!H16+'淘系达播'!H16</f>
      </c>
      <c r="I16" s="98">
        <f>'淘系'!I16+'淘系达播'!I16</f>
      </c>
      <c r="J16" s="98">
        <f>'淘系'!J16+'淘系达播'!J16</f>
      </c>
      <c r="K16" s="98">
        <f>'淘系'!K16+'淘系达播'!K16</f>
      </c>
      <c r="L16" s="98">
        <f>'淘系'!L16+'淘系达播'!L16</f>
      </c>
      <c r="M16" s="98">
        <f>'淘系'!M16+'淘系达播'!M16</f>
      </c>
      <c r="N16" s="98">
        <f>'淘系'!N16+'淘系达播'!N16</f>
      </c>
      <c r="O16" s="98">
        <f>SUM(C16:N16)</f>
      </c>
      <c r="P16" s="98"/>
      <c r="Q16" s="1"/>
      <c r="R16" s="54"/>
      <c r="S16" s="1"/>
      <c r="T16" s="1"/>
    </row>
    <row r="17">
      <c r="A17" s="1"/>
      <c r="B17" s="1"/>
      <c r="C17" s="1">
        <f>'淘系'!C17+'淘系达播'!C17</f>
      </c>
      <c r="D17" s="1">
        <f>'淘系'!D17+'淘系达播'!D17</f>
      </c>
      <c r="E17" s="1">
        <f>'淘系'!E17+'淘系达播'!E17</f>
      </c>
      <c r="F17" s="1">
        <f>'淘系'!F17+'淘系达播'!F17</f>
      </c>
      <c r="G17" s="1">
        <f>'淘系'!G17+'淘系达播'!G17</f>
      </c>
      <c r="H17" s="1">
        <f>'淘系'!H17+'淘系达播'!H17</f>
      </c>
      <c r="I17" s="1">
        <f>'淘系'!I17+'淘系达播'!I17</f>
      </c>
      <c r="J17" s="1">
        <f>'淘系'!J17+'淘系达播'!J17</f>
      </c>
      <c r="K17" s="1">
        <f>'淘系'!K17+'淘系达播'!K17</f>
      </c>
      <c r="L17" s="1">
        <f>'淘系'!L17+'淘系达播'!L17</f>
      </c>
      <c r="M17" s="1">
        <f>'淘系'!M17+'淘系达播'!M17</f>
      </c>
      <c r="N17" s="1">
        <f>'淘系'!N17+'淘系达播'!N17</f>
      </c>
      <c r="O17" s="1"/>
      <c r="P17" s="1"/>
      <c r="Q17" s="1"/>
      <c r="R17" s="54"/>
      <c r="S17" s="1"/>
      <c r="T17" s="1"/>
    </row>
    <row r="18">
      <c r="A18" s="1"/>
      <c r="B18" s="85" t="str">
        <v>标准主品配件成本</v>
      </c>
      <c r="C18" s="127">
        <f>'淘系'!C18+'淘系达播'!C18</f>
      </c>
      <c r="D18" s="127">
        <f>'淘系'!D18+'淘系达播'!D18</f>
      </c>
      <c r="E18" s="127">
        <f>'淘系'!E18+'淘系达播'!E18</f>
      </c>
      <c r="F18" s="127">
        <f>'淘系'!F18+'淘系达播'!F18</f>
      </c>
      <c r="G18" s="127">
        <f>'淘系'!G18+'淘系达播'!G18</f>
      </c>
      <c r="H18" s="127">
        <f>'淘系'!H18+'淘系达播'!H18</f>
      </c>
      <c r="I18" s="127">
        <f>'淘系'!I18+'淘系达播'!I18</f>
      </c>
      <c r="J18" s="127">
        <f>'淘系'!J18+'淘系达播'!J18</f>
      </c>
      <c r="K18" s="127">
        <f>'淘系'!K18+'淘系达播'!K18</f>
      </c>
      <c r="L18" s="127">
        <f>'淘系'!L18+'淘系达播'!L18</f>
      </c>
      <c r="M18" s="127">
        <f>'淘系'!M18+'淘系达播'!M18</f>
      </c>
      <c r="N18" s="127">
        <f>'淘系'!N18+'淘系达播'!N18</f>
      </c>
      <c r="O18" s="127">
        <f>SUM(C18:N18)</f>
      </c>
      <c r="P18" s="128">
        <f>O18/O16</f>
      </c>
      <c r="Q18" s="1"/>
      <c r="R18" s="54"/>
      <c r="S18" s="1"/>
      <c r="T18" s="1"/>
    </row>
    <row r="19">
      <c r="A19" s="1"/>
      <c r="B19" s="83" t="str">
        <v>产品毛利</v>
      </c>
      <c r="C19" s="115">
        <f>'淘系'!C19+'淘系达播'!C19</f>
      </c>
      <c r="D19" s="115">
        <f>'淘系'!D19+'淘系达播'!D19</f>
      </c>
      <c r="E19" s="115">
        <f>'淘系'!E19+'淘系达播'!E19</f>
      </c>
      <c r="F19" s="115">
        <f>'淘系'!F19+'淘系达播'!F19</f>
      </c>
      <c r="G19" s="115">
        <f>'淘系'!G19+'淘系达播'!G19</f>
      </c>
      <c r="H19" s="115">
        <f>'淘系'!H19+'淘系达播'!H19</f>
      </c>
      <c r="I19" s="115">
        <f>'淘系'!I19+'淘系达播'!I19</f>
      </c>
      <c r="J19" s="115">
        <f>'淘系'!J19+'淘系达播'!J19</f>
      </c>
      <c r="K19" s="115">
        <f>'淘系'!K19+'淘系达播'!K19</f>
      </c>
      <c r="L19" s="115">
        <f>'淘系'!L19+'淘系达播'!L19</f>
      </c>
      <c r="M19" s="115">
        <f>'淘系'!M19+'淘系达播'!M19</f>
      </c>
      <c r="N19" s="115">
        <f>'淘系'!N19+'淘系达播'!N19</f>
      </c>
      <c r="O19" s="115">
        <f>SUM(C19:N19)</f>
      </c>
      <c r="P19" s="116">
        <f>O19/$O$16</f>
      </c>
      <c r="Q19" s="1"/>
      <c r="R19" s="54"/>
      <c r="S19" s="1"/>
      <c r="T19" s="1"/>
    </row>
    <row r="20">
      <c r="A20" s="118"/>
      <c r="B20" s="90" t="str">
        <v>头程/尾程物流/仓储费用</v>
      </c>
      <c r="C20" s="118">
        <f>'淘系'!C20+'淘系达播'!C20</f>
      </c>
      <c r="D20" s="118">
        <f>'淘系'!D20+'淘系达播'!D20</f>
      </c>
      <c r="E20" s="118">
        <f>'淘系'!E20+'淘系达播'!E20</f>
      </c>
      <c r="F20" s="118">
        <f>'淘系'!F20+'淘系达播'!F20</f>
      </c>
      <c r="G20" s="118">
        <f>'淘系'!G20+'淘系达播'!G20</f>
      </c>
      <c r="H20" s="118">
        <f>'淘系'!H20+'淘系达播'!H20</f>
      </c>
      <c r="I20" s="118">
        <f>'淘系'!I20+'淘系达播'!I20</f>
      </c>
      <c r="J20" s="118">
        <f>'淘系'!J20+'淘系达播'!J20</f>
      </c>
      <c r="K20" s="118">
        <f>'淘系'!K20+'淘系达播'!K20</f>
      </c>
      <c r="L20" s="118">
        <f>'淘系'!L20+'淘系达播'!L20</f>
      </c>
      <c r="M20" s="118">
        <f>'淘系'!M20+'淘系达播'!M20</f>
      </c>
      <c r="N20" s="118">
        <f>'淘系'!N20+'淘系达播'!N20</f>
      </c>
      <c r="O20" s="118">
        <f>SUM(C20:N20)</f>
      </c>
      <c r="P20" s="120">
        <v>0.025</v>
      </c>
      <c r="Q20" s="1"/>
      <c r="R20" s="54"/>
      <c r="S20" s="1"/>
      <c r="T20" s="1"/>
    </row>
    <row r="21">
      <c r="A21" s="1"/>
      <c r="B21" s="83" t="str">
        <v>成本合计（产品+物流）</v>
      </c>
      <c r="C21" s="115">
        <f>'淘系'!C21+'淘系达播'!C21</f>
      </c>
      <c r="D21" s="115">
        <f>'淘系'!D21+'淘系达播'!D21</f>
      </c>
      <c r="E21" s="115">
        <f>'淘系'!E21+'淘系达播'!E21</f>
      </c>
      <c r="F21" s="115">
        <f>'淘系'!F21+'淘系达播'!F21</f>
      </c>
      <c r="G21" s="115">
        <f>'淘系'!G21+'淘系达播'!G21</f>
      </c>
      <c r="H21" s="115">
        <f>'淘系'!H21+'淘系达播'!H21</f>
      </c>
      <c r="I21" s="115">
        <f>'淘系'!I21+'淘系达播'!I21</f>
      </c>
      <c r="J21" s="115">
        <f>'淘系'!J21+'淘系达播'!J21</f>
      </c>
      <c r="K21" s="115">
        <f>'淘系'!K21+'淘系达播'!K21</f>
      </c>
      <c r="L21" s="115">
        <f>'淘系'!L21+'淘系达播'!L21</f>
      </c>
      <c r="M21" s="115">
        <f>'淘系'!M21+'淘系达播'!M21</f>
      </c>
      <c r="N21" s="115">
        <f>'淘系'!N21+'淘系达播'!N21</f>
      </c>
      <c r="O21" s="115">
        <f>SUM(C21:N21)</f>
      </c>
      <c r="P21" s="116">
        <f>O21/$O$16</f>
      </c>
      <c r="Q21" s="1"/>
      <c r="R21" s="54"/>
      <c r="S21" s="1"/>
      <c r="T21" s="1"/>
    </row>
    <row r="22">
      <c r="A22" s="135"/>
      <c r="B22" s="98" t="str">
        <v>净毛利</v>
      </c>
      <c r="C22" s="98">
        <f>'淘系'!C22+'淘系达播'!C22</f>
      </c>
      <c r="D22" s="98">
        <f>'淘系'!D22+'淘系达播'!D22</f>
      </c>
      <c r="E22" s="98">
        <f>'淘系'!E22+'淘系达播'!E22</f>
      </c>
      <c r="F22" s="98">
        <f>'淘系'!F22+'淘系达播'!F22</f>
      </c>
      <c r="G22" s="98">
        <f>'淘系'!G22+'淘系达播'!G22</f>
      </c>
      <c r="H22" s="98">
        <f>'淘系'!H22+'淘系达播'!H22</f>
      </c>
      <c r="I22" s="98">
        <f>'淘系'!I22+'淘系达播'!I22</f>
      </c>
      <c r="J22" s="98">
        <f>'淘系'!J22+'淘系达播'!J22</f>
      </c>
      <c r="K22" s="98">
        <f>'淘系'!K22+'淘系达播'!K22</f>
      </c>
      <c r="L22" s="98">
        <f>'淘系'!L22+'淘系达播'!L22</f>
      </c>
      <c r="M22" s="98">
        <f>'淘系'!M22+'淘系达播'!M22</f>
      </c>
      <c r="N22" s="98">
        <f>'淘系'!N22+'淘系达播'!N22</f>
      </c>
      <c r="O22" s="98">
        <f>SUM(C22:N22)</f>
      </c>
      <c r="P22" s="162">
        <f>O22/$O$16</f>
      </c>
      <c r="Q22" s="1"/>
      <c r="R22" s="54"/>
      <c r="S22" s="1"/>
      <c r="T22" s="1"/>
    </row>
    <row r="23">
      <c r="A23" s="1"/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120"/>
      <c r="Q23" s="1"/>
      <c r="R23" s="54"/>
      <c r="S23" s="1"/>
      <c r="T23" s="1"/>
    </row>
    <row r="24">
      <c r="A24" s="1"/>
      <c r="B24" s="102" t="str">
        <v>合计毛利率</v>
      </c>
      <c r="C24" s="165">
        <f>IFERROR(1-C21/C16,0)</f>
      </c>
      <c r="D24" s="165">
        <f>IFERROR(1-D21/D16,0)</f>
      </c>
      <c r="E24" s="165">
        <f>IFERROR(1-E21/E16,0)</f>
      </c>
      <c r="F24" s="165">
        <f>IFERROR(1-F21/F16,0)</f>
      </c>
      <c r="G24" s="165">
        <f>IFERROR(1-G21/G16,0)</f>
      </c>
      <c r="H24" s="165">
        <f>IFERROR(1-H21/H16,0)</f>
      </c>
      <c r="I24" s="165">
        <f>IFERROR(1-I21/I16,0)</f>
      </c>
      <c r="J24" s="165">
        <f>IFERROR(1-J21/J16,0)</f>
      </c>
      <c r="K24" s="165">
        <f>IFERROR(1-K21/K16,0)</f>
      </c>
      <c r="L24" s="165">
        <f>IFERROR(1-L21/L16,0)</f>
      </c>
      <c r="M24" s="165">
        <f>IFERROR(1-M21/M16,0)</f>
      </c>
      <c r="N24" s="165">
        <f>IFERROR(1-N21/N16,0)</f>
      </c>
      <c r="O24" s="165">
        <f>IFERROR(1-O21/O16,0)</f>
      </c>
      <c r="P24" s="120"/>
      <c r="Q24" s="1"/>
      <c r="R24" s="54"/>
      <c r="S24" s="1"/>
      <c r="T24" s="1"/>
    </row>
    <row r="25">
      <c r="A25" s="1"/>
      <c r="B25" s="1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20"/>
      <c r="Q25" s="1"/>
      <c r="R25" s="54"/>
      <c r="S25" s="1"/>
      <c r="T25" s="1"/>
    </row>
    <row r="26">
      <c r="A26" s="1"/>
      <c r="B26" s="85" t="str">
        <v>品牌及内容费用</v>
      </c>
      <c r="C26" s="127">
        <f>'淘系'!C26+'淘系达播'!C26</f>
      </c>
      <c r="D26" s="127">
        <f>'淘系'!D26+'淘系达播'!D26</f>
      </c>
      <c r="E26" s="127">
        <f>'淘系'!E26+'淘系达播'!E26</f>
      </c>
      <c r="F26" s="127">
        <f>'淘系'!F26+'淘系达播'!F26</f>
      </c>
      <c r="G26" s="127">
        <f>'淘系'!G26+'淘系达播'!G26</f>
      </c>
      <c r="H26" s="127">
        <f>'淘系'!H26+'淘系达播'!H26</f>
      </c>
      <c r="I26" s="127">
        <f>'淘系'!I26+'淘系达播'!I26</f>
      </c>
      <c r="J26" s="127">
        <f>'淘系'!J26+'淘系达播'!J26</f>
      </c>
      <c r="K26" s="127">
        <f>'淘系'!K26+'淘系达播'!K26</f>
      </c>
      <c r="L26" s="127">
        <f>'淘系'!L26+'淘系达播'!L26</f>
      </c>
      <c r="M26" s="127">
        <f>'淘系'!M26+'淘系达播'!M26</f>
      </c>
      <c r="N26" s="127">
        <f>'淘系'!N26+'淘系达播'!N26</f>
      </c>
      <c r="O26" s="127">
        <f>SUM(C26:N26)</f>
      </c>
      <c r="P26" s="128">
        <f>O26/$O$16</f>
      </c>
      <c r="Q26" s="1"/>
      <c r="R26" s="54"/>
      <c r="S26" s="1"/>
      <c r="T26" s="1"/>
    </row>
    <row r="27">
      <c r="A27" s="118"/>
      <c r="B27" s="90" t="str">
        <v>展会</v>
      </c>
      <c r="C27" s="170">
        <f>'淘系'!C27+'淘系达播'!C27</f>
      </c>
      <c r="D27" s="170">
        <f>'淘系'!D27+'淘系达播'!D27</f>
      </c>
      <c r="E27" s="170">
        <f>'淘系'!E27+'淘系达播'!E27</f>
      </c>
      <c r="F27" s="170">
        <f>'淘系'!F27+'淘系达播'!F27</f>
      </c>
      <c r="G27" s="170">
        <f>'淘系'!G27+'淘系达播'!G27</f>
      </c>
      <c r="H27" s="170">
        <f>'淘系'!H27+'淘系达播'!H27</f>
      </c>
      <c r="I27" s="170">
        <f>'淘系'!I27+'淘系达播'!I27</f>
      </c>
      <c r="J27" s="170">
        <f>'淘系'!J27+'淘系达播'!J27</f>
      </c>
      <c r="K27" s="170">
        <f>'淘系'!K27+'淘系达播'!K27</f>
      </c>
      <c r="L27" s="170">
        <f>'淘系'!L27+'淘系达播'!L27</f>
      </c>
      <c r="M27" s="170">
        <f>'淘系'!M27+'淘系达播'!M27</f>
      </c>
      <c r="N27" s="170">
        <f>'淘系'!N27+'淘系达播'!N27</f>
      </c>
      <c r="O27" s="118">
        <f>SUM(C27:N27)</f>
      </c>
      <c r="P27" s="120">
        <f>O27/$O$16</f>
      </c>
      <c r="Q27" s="90"/>
      <c r="R27" s="54"/>
      <c r="S27" s="1"/>
      <c r="T27" s="1"/>
    </row>
    <row r="28">
      <c r="A28" s="118"/>
      <c r="B28" s="90" t="str">
        <v>品牌营销</v>
      </c>
      <c r="C28" s="170">
        <f>'淘系'!C28+'淘系达播'!C28</f>
      </c>
      <c r="D28" s="170">
        <f>'淘系'!D28+'淘系达播'!D28</f>
      </c>
      <c r="E28" s="170">
        <f>'淘系'!E28+'淘系达播'!E28</f>
      </c>
      <c r="F28" s="170">
        <f>'淘系'!F28+'淘系达播'!F28</f>
      </c>
      <c r="G28" s="170">
        <f>'淘系'!G28+'淘系达播'!G28</f>
      </c>
      <c r="H28" s="170">
        <f>'淘系'!H28+'淘系达播'!H28</f>
      </c>
      <c r="I28" s="170">
        <f>'淘系'!I28+'淘系达播'!I28</f>
      </c>
      <c r="J28" s="170">
        <f>'淘系'!J28+'淘系达播'!J28</f>
      </c>
      <c r="K28" s="170">
        <f>'淘系'!K28+'淘系达播'!K28</f>
      </c>
      <c r="L28" s="170">
        <f>'淘系'!L28+'淘系达播'!L28</f>
      </c>
      <c r="M28" s="170">
        <f>'淘系'!M28+'淘系达播'!M28</f>
      </c>
      <c r="N28" s="170">
        <f>'淘系'!N28+'淘系达播'!N28</f>
      </c>
      <c r="O28" s="118">
        <f>SUM(C28:N28)</f>
      </c>
      <c r="P28" s="120">
        <f>O28/$O$16</f>
      </c>
      <c r="Q28" s="90" t="str">
        <v>注明：每个月增加155413品专费用</v>
      </c>
      <c r="R28" s="54"/>
      <c r="S28" s="1"/>
      <c r="T28" s="1"/>
    </row>
    <row r="29">
      <c r="A29" s="118"/>
      <c r="B29" s="90" t="str">
        <v>内容素材制作</v>
      </c>
      <c r="C29" s="170">
        <f>'淘系'!C29+'淘系达播'!C29</f>
      </c>
      <c r="D29" s="170">
        <f>'淘系'!D29+'淘系达播'!D29</f>
      </c>
      <c r="E29" s="170">
        <f>'淘系'!E29+'淘系达播'!E29</f>
      </c>
      <c r="F29" s="170">
        <f>'淘系'!F29+'淘系达播'!F29</f>
      </c>
      <c r="G29" s="170">
        <f>'淘系'!G29+'淘系达播'!G29</f>
      </c>
      <c r="H29" s="170">
        <f>'淘系'!H29+'淘系达播'!H29</f>
      </c>
      <c r="I29" s="170">
        <f>'淘系'!I29+'淘系达播'!I29</f>
      </c>
      <c r="J29" s="170">
        <f>'淘系'!J29+'淘系达播'!J29</f>
      </c>
      <c r="K29" s="170">
        <f>'淘系'!K29+'淘系达播'!K29</f>
      </c>
      <c r="L29" s="170">
        <f>'淘系'!L29+'淘系达播'!L29</f>
      </c>
      <c r="M29" s="170">
        <f>'淘系'!M29+'淘系达播'!M29</f>
      </c>
      <c r="N29" s="170">
        <f>'淘系'!N29+'淘系达播'!N29</f>
      </c>
      <c r="O29" s="118">
        <f>SUM(C29:N29)</f>
      </c>
      <c r="P29" s="120">
        <f>O29/$O$16</f>
      </c>
      <c r="Q29" s="1"/>
      <c r="R29" s="54"/>
      <c r="S29" s="1"/>
      <c r="T29" s="1"/>
    </row>
    <row r="30">
      <c r="A30" s="118"/>
      <c r="B30" s="90" t="str">
        <v>公关费用</v>
      </c>
      <c r="C30" s="170">
        <f>'淘系'!C30+'淘系达播'!C30</f>
      </c>
      <c r="D30" s="170">
        <f>'淘系'!D30+'淘系达播'!D30</f>
      </c>
      <c r="E30" s="170">
        <f>'淘系'!E30+'淘系达播'!E30</f>
      </c>
      <c r="F30" s="170">
        <f>'淘系'!F30+'淘系达播'!F30</f>
      </c>
      <c r="G30" s="170">
        <f>'淘系'!G30+'淘系达播'!G30</f>
      </c>
      <c r="H30" s="170">
        <f>'淘系'!H30+'淘系达播'!H30</f>
      </c>
      <c r="I30" s="170">
        <f>'淘系'!I30+'淘系达播'!I30</f>
      </c>
      <c r="J30" s="170">
        <f>'淘系'!J30+'淘系达播'!J30</f>
      </c>
      <c r="K30" s="170">
        <f>'淘系'!K30+'淘系达播'!K30</f>
      </c>
      <c r="L30" s="170">
        <f>'淘系'!L30+'淘系达播'!L30</f>
      </c>
      <c r="M30" s="170">
        <f>'淘系'!M30+'淘系达播'!M30</f>
      </c>
      <c r="N30" s="170">
        <f>'淘系'!N30+'淘系达播'!N30</f>
      </c>
      <c r="O30" s="118">
        <f>SUM(C30:N30)</f>
      </c>
      <c r="P30" s="120">
        <f>O30/$O$16</f>
      </c>
      <c r="Q30" s="1"/>
      <c r="R30" s="54"/>
      <c r="S30" s="1"/>
      <c r="T30" s="1"/>
    </row>
    <row collapsed="true" r="31">
      <c r="A31" s="118"/>
      <c r="B31" s="90" t="str">
        <v>达人种草、样机及加热</v>
      </c>
      <c r="C31" s="170">
        <f>'淘系'!C31+'淘系达播'!C31</f>
      </c>
      <c r="D31" s="170">
        <f>'淘系'!D31+'淘系达播'!D31</f>
      </c>
      <c r="E31" s="170">
        <f>'淘系'!E31+'淘系达播'!E31</f>
      </c>
      <c r="F31" s="170">
        <f>'淘系'!F31+'淘系达播'!F31</f>
      </c>
      <c r="G31" s="170">
        <f>'淘系'!G31+'淘系达播'!G31</f>
      </c>
      <c r="H31" s="170">
        <f>'淘系'!H31+'淘系达播'!H31</f>
      </c>
      <c r="I31" s="170">
        <f>'淘系'!I31+'淘系达播'!I31</f>
      </c>
      <c r="J31" s="170">
        <f>'淘系'!J31+'淘系达播'!J31</f>
      </c>
      <c r="K31" s="170">
        <f>'淘系'!K31+'淘系达播'!K31</f>
      </c>
      <c r="L31" s="170">
        <f>'淘系'!L31+'淘系达播'!L31</f>
      </c>
      <c r="M31" s="170">
        <f>'淘系'!M31+'淘系达播'!M31</f>
      </c>
      <c r="N31" s="170">
        <f>'淘系'!N31+'淘系达播'!N31</f>
      </c>
      <c r="O31" s="118">
        <f>SUM(C31:N31)</f>
      </c>
      <c r="P31" s="120">
        <f>O31/$O$16</f>
      </c>
      <c r="Q31" s="1"/>
      <c r="R31" s="54"/>
      <c r="S31" s="1"/>
      <c r="T31" s="1"/>
    </row>
    <row hidden="true" outlineLevel="1" r="32">
      <c r="A32" s="118"/>
      <c r="B32" s="90" t="str">
        <v>展会(费率)</v>
      </c>
      <c r="C32" s="118">
        <f>'淘系'!C32+'淘系达播'!C32</f>
      </c>
      <c r="D32" s="118">
        <f>'淘系'!D32+'淘系达播'!D32</f>
      </c>
      <c r="E32" s="118">
        <f>'淘系'!E32+'淘系达播'!E32</f>
      </c>
      <c r="F32" s="118">
        <f>'淘系'!F32+'淘系达播'!F32</f>
      </c>
      <c r="G32" s="118">
        <f>'淘系'!G32+'淘系达播'!G32</f>
      </c>
      <c r="H32" s="118">
        <f>'淘系'!H32+'淘系达播'!H32</f>
      </c>
      <c r="I32" s="118">
        <f>'淘系'!I32+'淘系达播'!I32</f>
      </c>
      <c r="J32" s="118">
        <f>'淘系'!J32+'淘系达播'!J32</f>
      </c>
      <c r="K32" s="118">
        <f>'淘系'!K32+'淘系达播'!K32</f>
      </c>
      <c r="L32" s="118">
        <f>'淘系'!L32+'淘系达播'!L32</f>
      </c>
      <c r="M32" s="118">
        <f>'淘系'!M32+'淘系达播'!M32</f>
      </c>
      <c r="N32" s="118">
        <f>'淘系'!N32+'淘系达播'!N32</f>
      </c>
      <c r="O32" s="118"/>
      <c r="P32" s="120"/>
      <c r="Q32" s="1"/>
      <c r="R32" s="54"/>
      <c r="S32" s="1"/>
      <c r="T32" s="1"/>
    </row>
    <row hidden="true" outlineLevel="1" r="33">
      <c r="A33" s="118"/>
      <c r="B33" s="90" t="str">
        <v>品牌营销（费率）</v>
      </c>
      <c r="C33" s="118">
        <f>'淘系'!C33+'淘系达播'!C33</f>
      </c>
      <c r="D33" s="118">
        <f>'淘系'!D33+'淘系达播'!D33</f>
      </c>
      <c r="E33" s="118">
        <f>'淘系'!E33+'淘系达播'!E33</f>
      </c>
      <c r="F33" s="118">
        <f>'淘系'!F33+'淘系达播'!F33</f>
      </c>
      <c r="G33" s="118">
        <f>'淘系'!G33+'淘系达播'!G33</f>
      </c>
      <c r="H33" s="118">
        <f>'淘系'!H33+'淘系达播'!H33</f>
      </c>
      <c r="I33" s="118">
        <f>'淘系'!I33+'淘系达播'!I33</f>
      </c>
      <c r="J33" s="118">
        <f>'淘系'!J33+'淘系达播'!J33</f>
      </c>
      <c r="K33" s="118">
        <f>'淘系'!K33+'淘系达播'!K33</f>
      </c>
      <c r="L33" s="118">
        <f>'淘系'!L33+'淘系达播'!L33</f>
      </c>
      <c r="M33" s="118">
        <f>'淘系'!M33+'淘系达播'!M33</f>
      </c>
      <c r="N33" s="118">
        <f>'淘系'!N33+'淘系达播'!N33</f>
      </c>
      <c r="O33" s="118"/>
      <c r="P33" s="120"/>
      <c r="Q33" s="1"/>
      <c r="R33" s="54"/>
      <c r="S33" s="1"/>
      <c r="T33" s="1"/>
    </row>
    <row hidden="true" outlineLevel="1" r="34">
      <c r="A34" s="118"/>
      <c r="B34" s="90" t="str">
        <v>内容素材制作（费率）</v>
      </c>
      <c r="C34" s="118">
        <f>'淘系'!C34+'淘系达播'!C34</f>
      </c>
      <c r="D34" s="118">
        <f>'淘系'!D34+'淘系达播'!D34</f>
      </c>
      <c r="E34" s="118">
        <f>'淘系'!E34+'淘系达播'!E34</f>
      </c>
      <c r="F34" s="118">
        <f>'淘系'!F34+'淘系达播'!F34</f>
      </c>
      <c r="G34" s="118">
        <f>'淘系'!G34+'淘系达播'!G34</f>
      </c>
      <c r="H34" s="118">
        <f>'淘系'!H34+'淘系达播'!H34</f>
      </c>
      <c r="I34" s="118">
        <f>'淘系'!I34+'淘系达播'!I34</f>
      </c>
      <c r="J34" s="118">
        <f>'淘系'!J34+'淘系达播'!J34</f>
      </c>
      <c r="K34" s="118">
        <f>'淘系'!K34+'淘系达播'!K34</f>
      </c>
      <c r="L34" s="118">
        <f>'淘系'!L34+'淘系达播'!L34</f>
      </c>
      <c r="M34" s="118">
        <f>'淘系'!M34+'淘系达播'!M34</f>
      </c>
      <c r="N34" s="118">
        <f>'淘系'!N34+'淘系达播'!N34</f>
      </c>
      <c r="O34" s="118"/>
      <c r="P34" s="120"/>
      <c r="Q34" s="1"/>
      <c r="R34" s="54"/>
      <c r="S34" s="1"/>
      <c r="T34" s="1"/>
    </row>
    <row hidden="true" outlineLevel="1" r="35">
      <c r="A35" s="118"/>
      <c r="B35" s="90" t="str">
        <v>公关费用（费率）</v>
      </c>
      <c r="C35" s="118">
        <f>'淘系'!C35+'淘系达播'!C35</f>
      </c>
      <c r="D35" s="118">
        <f>'淘系'!D35+'淘系达播'!D35</f>
      </c>
      <c r="E35" s="118">
        <f>'淘系'!E35+'淘系达播'!E35</f>
      </c>
      <c r="F35" s="118">
        <f>'淘系'!F35+'淘系达播'!F35</f>
      </c>
      <c r="G35" s="118">
        <f>'淘系'!G35+'淘系达播'!G35</f>
      </c>
      <c r="H35" s="118">
        <f>'淘系'!H35+'淘系达播'!H35</f>
      </c>
      <c r="I35" s="118">
        <f>'淘系'!I35+'淘系达播'!I35</f>
      </c>
      <c r="J35" s="118">
        <f>'淘系'!J35+'淘系达播'!J35</f>
      </c>
      <c r="K35" s="118">
        <f>'淘系'!K35+'淘系达播'!K35</f>
      </c>
      <c r="L35" s="118">
        <f>'淘系'!L35+'淘系达播'!L35</f>
      </c>
      <c r="M35" s="118">
        <f>'淘系'!M35+'淘系达播'!M35</f>
      </c>
      <c r="N35" s="118">
        <f>'淘系'!N35+'淘系达播'!N35</f>
      </c>
      <c r="O35" s="118"/>
      <c r="P35" s="120"/>
      <c r="Q35" s="1"/>
      <c r="R35" s="54"/>
      <c r="S35" s="1"/>
      <c r="T35" s="1"/>
    </row>
    <row hidden="true" outlineLevel="1" r="36">
      <c r="A36" s="118"/>
      <c r="B36" s="90" t="str">
        <v>达人种草、样机及加热（费率）</v>
      </c>
      <c r="C36" s="171">
        <f>'淘系'!C36+'淘系达播'!C36</f>
      </c>
      <c r="D36" s="171">
        <f>'淘系'!D36+'淘系达播'!D36</f>
      </c>
      <c r="E36" s="171">
        <f>'淘系'!E36+'淘系达播'!E36</f>
      </c>
      <c r="F36" s="171">
        <f>'淘系'!F36+'淘系达播'!F36</f>
      </c>
      <c r="G36" s="171">
        <f>'淘系'!G36+'淘系达播'!G36</f>
      </c>
      <c r="H36" s="171">
        <f>'淘系'!H36+'淘系达播'!H36</f>
      </c>
      <c r="I36" s="171">
        <f>'淘系'!I36+'淘系达播'!I36</f>
      </c>
      <c r="J36" s="171">
        <f>'淘系'!J36+'淘系达播'!J36</f>
      </c>
      <c r="K36" s="171">
        <f>'淘系'!K36+'淘系达播'!K36</f>
      </c>
      <c r="L36" s="171">
        <f>'淘系'!L36+'淘系达播'!L36</f>
      </c>
      <c r="M36" s="171">
        <f>'淘系'!M36+'淘系达播'!M36</f>
      </c>
      <c r="N36" s="171">
        <f>'淘系'!N36+'淘系达播'!N36</f>
      </c>
      <c r="O36" s="118"/>
      <c r="P36" s="120"/>
      <c r="Q36" s="1"/>
      <c r="R36" s="54"/>
      <c r="S36" s="1"/>
      <c r="T36" s="1"/>
    </row>
    <row r="37">
      <c r="A37" s="1"/>
      <c r="B37" s="85" t="str">
        <v>效果广告</v>
      </c>
      <c r="C37" s="127">
        <f>'淘系'!C37+'淘系达播'!C37</f>
      </c>
      <c r="D37" s="127">
        <f>'淘系'!D37+'淘系达播'!D37</f>
      </c>
      <c r="E37" s="127">
        <f>'淘系'!E37+'淘系达播'!E37</f>
      </c>
      <c r="F37" s="127">
        <f>'淘系'!F37+'淘系达播'!F37</f>
      </c>
      <c r="G37" s="127">
        <f>'淘系'!G37+'淘系达播'!G37</f>
      </c>
      <c r="H37" s="127">
        <f>'淘系'!H37+'淘系达播'!H37</f>
      </c>
      <c r="I37" s="127">
        <f>'淘系'!I37+'淘系达播'!I37</f>
      </c>
      <c r="J37" s="127">
        <f>'淘系'!J37+'淘系达播'!J37</f>
      </c>
      <c r="K37" s="127">
        <f>'淘系'!K37+'淘系达播'!K37</f>
      </c>
      <c r="L37" s="127">
        <f>'淘系'!L37+'淘系达播'!L37</f>
      </c>
      <c r="M37" s="127">
        <f>'淘系'!M37+'淘系达播'!M37</f>
      </c>
      <c r="N37" s="127">
        <f>'淘系'!N37+'淘系达播'!N37</f>
      </c>
      <c r="O37" s="127">
        <f>SUM(C37:N37)</f>
      </c>
      <c r="P37" s="128">
        <f>O37/$O$16</f>
      </c>
      <c r="Q37" s="1"/>
      <c r="R37" s="54"/>
      <c r="S37" s="1"/>
      <c r="T37" s="1"/>
    </row>
    <row r="38">
      <c r="A38" s="118"/>
      <c r="B38" s="90" t="str">
        <v>站内投放</v>
      </c>
      <c r="C38" s="172">
        <f>'淘系'!C38+'淘系达播'!C38</f>
      </c>
      <c r="D38" s="172">
        <f>'淘系'!D38+'淘系达播'!D38</f>
      </c>
      <c r="E38" s="172">
        <f>'淘系'!E38+'淘系达播'!E38</f>
      </c>
      <c r="F38" s="172">
        <f>'淘系'!F38+'淘系达播'!F38</f>
      </c>
      <c r="G38" s="172">
        <f>'淘系'!G38+'淘系达播'!G38</f>
      </c>
      <c r="H38" s="172">
        <f>'淘系'!H38+'淘系达播'!H38</f>
      </c>
      <c r="I38" s="172">
        <f>'淘系'!I38+'淘系达播'!I38</f>
      </c>
      <c r="J38" s="172">
        <f>'淘系'!J38+'淘系达播'!J38</f>
      </c>
      <c r="K38" s="172">
        <f>'淘系'!K38+'淘系达播'!K38</f>
      </c>
      <c r="L38" s="172">
        <f>'淘系'!L38+'淘系达播'!L38</f>
      </c>
      <c r="M38" s="172">
        <f>'淘系'!M38+'淘系达播'!M38</f>
      </c>
      <c r="N38" s="172">
        <f>'淘系'!N38+'淘系达播'!N38</f>
      </c>
      <c r="O38" s="118">
        <f>SUM(C38:N38)</f>
      </c>
      <c r="P38" s="120">
        <f>O38/$O$16</f>
      </c>
      <c r="Q38" s="1" t="str">
        <v>投放填写</v>
      </c>
      <c r="R38" s="54"/>
      <c r="S38" s="1"/>
      <c r="T38" s="1"/>
    </row>
    <row r="39">
      <c r="A39" s="118"/>
      <c r="B39" s="90" t="str">
        <v>千川投放</v>
      </c>
      <c r="C39" s="172">
        <f>'淘系'!C39+'淘系达播'!C39</f>
      </c>
      <c r="D39" s="172">
        <f>'淘系'!D39+'淘系达播'!D39</f>
      </c>
      <c r="E39" s="172">
        <f>'淘系'!E39+'淘系达播'!E39</f>
      </c>
      <c r="F39" s="172">
        <f>'淘系'!F39+'淘系达播'!F39</f>
      </c>
      <c r="G39" s="172">
        <f>'淘系'!G39+'淘系达播'!G39</f>
      </c>
      <c r="H39" s="172">
        <f>'淘系'!H39+'淘系达播'!H39</f>
      </c>
      <c r="I39" s="172">
        <f>'淘系'!I39+'淘系达播'!I39</f>
      </c>
      <c r="J39" s="172">
        <f>'淘系'!J39+'淘系达播'!J39</f>
      </c>
      <c r="K39" s="172">
        <f>'淘系'!K39+'淘系达播'!K39</f>
      </c>
      <c r="L39" s="172">
        <f>'淘系'!L39+'淘系达播'!L39</f>
      </c>
      <c r="M39" s="172">
        <f>'淘系'!M39+'淘系达播'!M39</f>
      </c>
      <c r="N39" s="172">
        <f>'淘系'!N39+'淘系达播'!N39</f>
      </c>
      <c r="O39" s="118">
        <f>SUM(C39:N39)</f>
      </c>
      <c r="P39" s="120">
        <f>O39/$O$16</f>
      </c>
      <c r="Q39" s="1" t="str">
        <v>投放填写</v>
      </c>
      <c r="R39" s="54"/>
      <c r="S39" s="1"/>
      <c r="T39" s="1"/>
    </row>
    <row collapsed="true" r="40">
      <c r="A40" s="118"/>
      <c r="B40" s="90" t="str">
        <v>站外投放</v>
      </c>
      <c r="C40" s="172">
        <f>'淘系'!C40+'淘系达播'!C40</f>
      </c>
      <c r="D40" s="172">
        <f>'淘系'!D40+'淘系达播'!D40</f>
      </c>
      <c r="E40" s="172">
        <f>'淘系'!E40+'淘系达播'!E40</f>
      </c>
      <c r="F40" s="172">
        <f>'淘系'!F40+'淘系达播'!F40</f>
      </c>
      <c r="G40" s="172">
        <f>'淘系'!G40+'淘系达播'!G40</f>
      </c>
      <c r="H40" s="172">
        <f>'淘系'!H40+'淘系达播'!H40</f>
      </c>
      <c r="I40" s="172">
        <f>'淘系'!I40+'淘系达播'!I40</f>
      </c>
      <c r="J40" s="172">
        <f>'淘系'!J40+'淘系达播'!J40</f>
      </c>
      <c r="K40" s="172">
        <f>'淘系'!K40+'淘系达播'!K40</f>
      </c>
      <c r="L40" s="172">
        <f>'淘系'!L40+'淘系达播'!L40</f>
      </c>
      <c r="M40" s="172">
        <f>'淘系'!M40+'淘系达播'!M40</f>
      </c>
      <c r="N40" s="172">
        <f>'淘系'!N40+'淘系达播'!N40</f>
      </c>
      <c r="O40" s="118">
        <f>SUM(C40:N40)</f>
      </c>
      <c r="P40" s="120">
        <f>O40/$O$16</f>
      </c>
      <c r="Q40" s="1" t="str">
        <v>投放填写</v>
      </c>
      <c r="R40" s="54"/>
      <c r="S40" s="1"/>
      <c r="T40" s="1"/>
    </row>
    <row hidden="true" outlineLevel="1" r="41">
      <c r="A41" s="118"/>
      <c r="B41" s="90" t="str">
        <v>站内投放（费率）</v>
      </c>
      <c r="C41" s="171">
        <f>'淘系'!C41+'淘系达播'!C41</f>
      </c>
      <c r="D41" s="171">
        <f>'淘系'!D41+'淘系达播'!D41</f>
      </c>
      <c r="E41" s="171">
        <f>'淘系'!E41+'淘系达播'!E41</f>
      </c>
      <c r="F41" s="171">
        <f>'淘系'!F41+'淘系达播'!F41</f>
      </c>
      <c r="G41" s="171">
        <f>'淘系'!G41+'淘系达播'!G41</f>
      </c>
      <c r="H41" s="171">
        <f>'淘系'!H41+'淘系达播'!H41</f>
      </c>
      <c r="I41" s="171">
        <f>'淘系'!I41+'淘系达播'!I41</f>
      </c>
      <c r="J41" s="171">
        <f>'淘系'!J41+'淘系达播'!J41</f>
      </c>
      <c r="K41" s="171">
        <f>'淘系'!K41+'淘系达播'!K41</f>
      </c>
      <c r="L41" s="171">
        <f>'淘系'!L41+'淘系达播'!L41</f>
      </c>
      <c r="M41" s="171">
        <f>'淘系'!M41+'淘系达播'!M41</f>
      </c>
      <c r="N41" s="171">
        <f>'淘系'!N41+'淘系达播'!N41</f>
      </c>
      <c r="O41" s="120">
        <f>O38/$O$16</f>
      </c>
      <c r="P41" s="1"/>
      <c r="Q41" s="1" t="str">
        <v>投放填写</v>
      </c>
      <c r="R41" s="54"/>
      <c r="S41" s="1"/>
      <c r="T41" s="1"/>
    </row>
    <row hidden="true" outlineLevel="1" r="42">
      <c r="A42" s="118"/>
      <c r="B42" s="90" t="str">
        <v>千川投放（费率）</v>
      </c>
      <c r="C42" s="171">
        <f>'淘系'!C42+'淘系达播'!C42</f>
      </c>
      <c r="D42" s="171">
        <f>'淘系'!D42+'淘系达播'!D42</f>
      </c>
      <c r="E42" s="171">
        <f>'淘系'!E42+'淘系达播'!E42</f>
      </c>
      <c r="F42" s="171">
        <f>'淘系'!F42+'淘系达播'!F42</f>
      </c>
      <c r="G42" s="171">
        <f>'淘系'!G42+'淘系达播'!G42</f>
      </c>
      <c r="H42" s="171">
        <f>'淘系'!H42+'淘系达播'!H42</f>
      </c>
      <c r="I42" s="171">
        <f>'淘系'!I42+'淘系达播'!I42</f>
      </c>
      <c r="J42" s="171">
        <f>'淘系'!J42+'淘系达播'!J42</f>
      </c>
      <c r="K42" s="171">
        <f>'淘系'!K42+'淘系达播'!K42</f>
      </c>
      <c r="L42" s="171">
        <f>'淘系'!L42+'淘系达播'!L42</f>
      </c>
      <c r="M42" s="171">
        <f>'淘系'!M42+'淘系达播'!M42</f>
      </c>
      <c r="N42" s="171">
        <f>'淘系'!N42+'淘系达播'!N42</f>
      </c>
      <c r="O42" s="120">
        <f>O39/$O$16</f>
      </c>
      <c r="P42" s="1"/>
      <c r="Q42" s="1" t="str">
        <v>投放填写</v>
      </c>
      <c r="R42" s="54"/>
      <c r="S42" s="1"/>
      <c r="T42" s="1"/>
    </row>
    <row hidden="true" outlineLevel="1" r="43">
      <c r="A43" s="118"/>
      <c r="B43" s="90" t="str">
        <v>站外投放（费率）</v>
      </c>
      <c r="C43" s="171">
        <f>'淘系'!C43+'淘系达播'!C43</f>
      </c>
      <c r="D43" s="171">
        <f>'淘系'!D43+'淘系达播'!D43</f>
      </c>
      <c r="E43" s="171">
        <f>'淘系'!E43+'淘系达播'!E43</f>
      </c>
      <c r="F43" s="171">
        <f>'淘系'!F43+'淘系达播'!F43</f>
      </c>
      <c r="G43" s="171">
        <f>'淘系'!G43+'淘系达播'!G43</f>
      </c>
      <c r="H43" s="171">
        <f>'淘系'!H43+'淘系达播'!H43</f>
      </c>
      <c r="I43" s="171">
        <f>'淘系'!I43+'淘系达播'!I43</f>
      </c>
      <c r="J43" s="171">
        <f>'淘系'!J43+'淘系达播'!J43</f>
      </c>
      <c r="K43" s="171">
        <f>'淘系'!K43+'淘系达播'!K43</f>
      </c>
      <c r="L43" s="171">
        <f>'淘系'!L43+'淘系达播'!L43</f>
      </c>
      <c r="M43" s="171">
        <f>'淘系'!M43+'淘系达播'!M43</f>
      </c>
      <c r="N43" s="171">
        <f>'淘系'!N43+'淘系达播'!N43</f>
      </c>
      <c r="O43" s="120">
        <f>O40/$O$16</f>
      </c>
      <c r="P43" s="1"/>
      <c r="Q43" s="1" t="str">
        <v>投放填写</v>
      </c>
      <c r="R43" s="54"/>
      <c r="S43" s="1"/>
      <c r="T43" s="1"/>
    </row>
    <row r="44">
      <c r="A44" s="1"/>
      <c r="B44" s="85" t="str">
        <v>线上营销费用</v>
      </c>
      <c r="C44" s="127">
        <f>'淘系'!C44+'淘系达播'!C44</f>
      </c>
      <c r="D44" s="127">
        <f>'淘系'!D44+'淘系达播'!D44</f>
      </c>
      <c r="E44" s="127">
        <f>'淘系'!E44+'淘系达播'!E44</f>
      </c>
      <c r="F44" s="127">
        <f>'淘系'!F44+'淘系达播'!F44</f>
      </c>
      <c r="G44" s="127">
        <f>'淘系'!G44+'淘系达播'!G44</f>
      </c>
      <c r="H44" s="127">
        <f>'淘系'!H44+'淘系达播'!H44</f>
      </c>
      <c r="I44" s="127">
        <f>'淘系'!I44+'淘系达播'!I44</f>
      </c>
      <c r="J44" s="127">
        <f>'淘系'!J44+'淘系达播'!J44</f>
      </c>
      <c r="K44" s="127">
        <f>'淘系'!K44+'淘系达播'!K44</f>
      </c>
      <c r="L44" s="127">
        <f>'淘系'!L44+'淘系达播'!L44</f>
      </c>
      <c r="M44" s="127">
        <f>'淘系'!M44+'淘系达播'!M44</f>
      </c>
      <c r="N44" s="127">
        <f>'淘系'!N44+'淘系达播'!N44</f>
      </c>
      <c r="O44" s="127">
        <f>SUM(C44:N44)</f>
      </c>
      <c r="P44" s="128">
        <f>O44/$O$16</f>
      </c>
      <c r="Q44" s="1"/>
      <c r="R44" s="54"/>
      <c r="S44" s="1"/>
      <c r="T44" s="1"/>
    </row>
    <row r="45">
      <c r="A45" s="118"/>
      <c r="B45" s="90" t="str">
        <v>直播费用</v>
      </c>
      <c r="C45" s="170">
        <f>'淘系'!C45+'淘系达播'!C45</f>
      </c>
      <c r="D45" s="170">
        <f>'淘系'!D45+'淘系达播'!D45</f>
      </c>
      <c r="E45" s="170">
        <f>'淘系'!E45+'淘系达播'!E45</f>
      </c>
      <c r="F45" s="170">
        <f>'淘系'!F45+'淘系达播'!F45</f>
      </c>
      <c r="G45" s="170">
        <f>'淘系'!G45+'淘系达播'!G45</f>
      </c>
      <c r="H45" s="170">
        <f>'淘系'!H45+'淘系达播'!H45</f>
      </c>
      <c r="I45" s="170">
        <f>'淘系'!I45+'淘系达播'!I45</f>
      </c>
      <c r="J45" s="170">
        <f>'淘系'!J45+'淘系达播'!J45</f>
      </c>
      <c r="K45" s="170">
        <f>'淘系'!K45+'淘系达播'!K45</f>
      </c>
      <c r="L45" s="170">
        <f>'淘系'!L45+'淘系达播'!L45</f>
      </c>
      <c r="M45" s="170">
        <f>'淘系'!M45+'淘系达播'!M45</f>
      </c>
      <c r="N45" s="170">
        <f>'淘系'!N45+'淘系达播'!N45</f>
      </c>
      <c r="O45" s="118">
        <f>SUM(C45:N45)</f>
      </c>
      <c r="P45" s="120">
        <v>0.01</v>
      </c>
      <c r="Q45" s="1" t="str">
        <v>达人填写</v>
      </c>
      <c r="R45" s="54"/>
      <c r="S45" s="1"/>
      <c r="T45" s="1"/>
    </row>
    <row r="46">
      <c r="A46" s="118"/>
      <c r="B46" s="90" t="str">
        <v>赠品费用</v>
      </c>
      <c r="C46" s="170">
        <f>'淘系'!C46+'淘系达播'!C46</f>
      </c>
      <c r="D46" s="170">
        <f>'淘系'!D46+'淘系达播'!D46</f>
      </c>
      <c r="E46" s="170">
        <f>'淘系'!E46+'淘系达播'!E46</f>
      </c>
      <c r="F46" s="170">
        <f>'淘系'!F46+'淘系达播'!F46</f>
      </c>
      <c r="G46" s="170">
        <f>'淘系'!G46+'淘系达播'!G46</f>
      </c>
      <c r="H46" s="170">
        <f>'淘系'!H46+'淘系达播'!H46</f>
      </c>
      <c r="I46" s="170">
        <f>'淘系'!I46+'淘系达播'!I46</f>
      </c>
      <c r="J46" s="170">
        <f>'淘系'!J46+'淘系达播'!J46</f>
      </c>
      <c r="K46" s="170">
        <f>'淘系'!K46+'淘系达播'!K46</f>
      </c>
      <c r="L46" s="170">
        <f>'淘系'!L46+'淘系达播'!L46</f>
      </c>
      <c r="M46" s="170">
        <f>'淘系'!M46+'淘系达播'!M46</f>
      </c>
      <c r="N46" s="170">
        <f>'淘系'!N46+'淘系达播'!N46</f>
      </c>
      <c r="O46" s="118">
        <f>SUM(C46:N46)</f>
      </c>
      <c r="P46" s="120">
        <v>0.02</v>
      </c>
      <c r="Q46" s="90" t="str">
        <v>渠道填写</v>
      </c>
      <c r="R46" s="54"/>
      <c r="S46" s="1"/>
      <c r="T46" s="1"/>
    </row>
    <row r="47">
      <c r="A47" s="1"/>
      <c r="B47" s="85" t="str">
        <v>线下市场费用</v>
      </c>
      <c r="C47" s="127">
        <f>'淘系'!C47+'淘系达播'!C47</f>
      </c>
      <c r="D47" s="127">
        <f>'淘系'!D47+'淘系达播'!D47</f>
      </c>
      <c r="E47" s="127">
        <f>'淘系'!E47+'淘系达播'!E47</f>
      </c>
      <c r="F47" s="127">
        <f>'淘系'!F47+'淘系达播'!F47</f>
      </c>
      <c r="G47" s="127">
        <f>'淘系'!G47+'淘系达播'!G47</f>
      </c>
      <c r="H47" s="127">
        <f>'淘系'!H47+'淘系达播'!H47</f>
      </c>
      <c r="I47" s="127">
        <f>'淘系'!I47+'淘系达播'!I47</f>
      </c>
      <c r="J47" s="127">
        <f>'淘系'!J47+'淘系达播'!J47</f>
      </c>
      <c r="K47" s="127">
        <f>'淘系'!K47+'淘系达播'!K47</f>
      </c>
      <c r="L47" s="127">
        <f>'淘系'!L47+'淘系达播'!L47</f>
      </c>
      <c r="M47" s="127">
        <f>'淘系'!M47+'淘系达播'!M47</f>
      </c>
      <c r="N47" s="127">
        <f>'淘系'!N47+'淘系达播'!N47</f>
      </c>
      <c r="O47" s="127">
        <f>SUM(C47:N47)</f>
      </c>
      <c r="P47" s="128">
        <f>O47/$O$16</f>
      </c>
      <c r="Q47" s="1"/>
      <c r="R47" s="54"/>
      <c r="S47" s="1"/>
      <c r="T47" s="1"/>
    </row>
    <row r="48">
      <c r="A48" s="118"/>
      <c r="B48" s="90" t="str">
        <v>线下渠道展陈、促销费用</v>
      </c>
      <c r="C48" s="170">
        <f>'淘系'!C48+'淘系达播'!C48</f>
      </c>
      <c r="D48" s="170">
        <f>'淘系'!D48+'淘系达播'!D48</f>
      </c>
      <c r="E48" s="170">
        <f>'淘系'!E48+'淘系达播'!E48</f>
      </c>
      <c r="F48" s="170">
        <f>'淘系'!F48+'淘系达播'!F48</f>
      </c>
      <c r="G48" s="170">
        <f>'淘系'!G48+'淘系达播'!G48</f>
      </c>
      <c r="H48" s="170">
        <f>'淘系'!H48+'淘系达播'!H48</f>
      </c>
      <c r="I48" s="170">
        <f>'淘系'!I48+'淘系达播'!I48</f>
      </c>
      <c r="J48" s="170">
        <f>'淘系'!J48+'淘系达播'!J48</f>
      </c>
      <c r="K48" s="170">
        <f>'淘系'!K48+'淘系达播'!K48</f>
      </c>
      <c r="L48" s="170">
        <f>'淘系'!L48+'淘系达播'!L48</f>
      </c>
      <c r="M48" s="170">
        <f>'淘系'!M48+'淘系达播'!M48</f>
      </c>
      <c r="N48" s="170">
        <f>'淘系'!N48+'淘系达播'!N48</f>
      </c>
      <c r="O48" s="118">
        <f>SUM(C48:N48)</f>
      </c>
      <c r="P48" s="120">
        <f>O48/$O$16</f>
      </c>
      <c r="Q48" s="90" t="str">
        <v>线下门店</v>
      </c>
      <c r="R48" s="54"/>
      <c r="S48" s="1"/>
      <c r="T48" s="1"/>
    </row>
    <row r="49">
      <c r="A49" s="118"/>
      <c r="B49" s="90" t="str">
        <v>租金+物业+水电</v>
      </c>
      <c r="C49" s="170">
        <f>'淘系'!C49+'淘系达播'!C49</f>
      </c>
      <c r="D49" s="170">
        <f>'淘系'!D49+'淘系达播'!D49</f>
      </c>
      <c r="E49" s="170">
        <f>'淘系'!E49+'淘系达播'!E49</f>
      </c>
      <c r="F49" s="170">
        <f>'淘系'!F49+'淘系达播'!F49</f>
      </c>
      <c r="G49" s="170">
        <f>'淘系'!G49+'淘系达播'!G49</f>
      </c>
      <c r="H49" s="170">
        <f>'淘系'!H49+'淘系达播'!H49</f>
      </c>
      <c r="I49" s="170">
        <f>'淘系'!I49+'淘系达播'!I49</f>
      </c>
      <c r="J49" s="170">
        <f>'淘系'!J49+'淘系达播'!J49</f>
      </c>
      <c r="K49" s="170">
        <f>'淘系'!K49+'淘系达播'!K49</f>
      </c>
      <c r="L49" s="170">
        <f>'淘系'!L49+'淘系达播'!L49</f>
      </c>
      <c r="M49" s="170">
        <f>'淘系'!M49+'淘系达播'!M49</f>
      </c>
      <c r="N49" s="170">
        <f>'淘系'!N49+'淘系达播'!N49</f>
      </c>
      <c r="O49" s="118">
        <f>SUM(C49:N49)</f>
      </c>
      <c r="P49" s="120">
        <f>O49/$O$16</f>
      </c>
      <c r="Q49" s="90" t="str">
        <v>线下门店</v>
      </c>
      <c r="R49" s="54"/>
      <c r="S49" s="1"/>
      <c r="T49" s="1"/>
    </row>
    <row r="50">
      <c r="A50" s="118"/>
      <c r="B50" s="90" t="str">
        <v>门店人工</v>
      </c>
      <c r="C50" s="170">
        <f>'淘系'!C50+'淘系达播'!C50</f>
      </c>
      <c r="D50" s="170">
        <f>'淘系'!D50+'淘系达播'!D50</f>
      </c>
      <c r="E50" s="170">
        <f>'淘系'!E50+'淘系达播'!E50</f>
      </c>
      <c r="F50" s="170">
        <f>'淘系'!F50+'淘系达播'!F50</f>
      </c>
      <c r="G50" s="170">
        <f>'淘系'!G50+'淘系达播'!G50</f>
      </c>
      <c r="H50" s="170">
        <f>'淘系'!H50+'淘系达播'!H50</f>
      </c>
      <c r="I50" s="170">
        <f>'淘系'!I50+'淘系达播'!I50</f>
      </c>
      <c r="J50" s="170">
        <f>'淘系'!J50+'淘系达播'!J50</f>
      </c>
      <c r="K50" s="170">
        <f>'淘系'!K50+'淘系达播'!K50</f>
      </c>
      <c r="L50" s="170">
        <f>'淘系'!L50+'淘系达播'!L50</f>
      </c>
      <c r="M50" s="170">
        <f>'淘系'!M50+'淘系达播'!M50</f>
      </c>
      <c r="N50" s="170">
        <f>'淘系'!N50+'淘系达播'!N50</f>
      </c>
      <c r="O50" s="118">
        <f>SUM(C50:N50)</f>
      </c>
      <c r="P50" s="120">
        <f>O50/$O$16</f>
      </c>
      <c r="Q50" s="90" t="str">
        <v>线下门店</v>
      </c>
      <c r="R50" s="54"/>
      <c r="S50" s="1"/>
      <c r="T50" s="1"/>
    </row>
    <row r="51">
      <c r="A51" s="1"/>
      <c r="B51" s="90" t="str">
        <v>门店展陈装修等其他</v>
      </c>
      <c r="C51" s="170">
        <f>'淘系'!C51+'淘系达播'!C51</f>
      </c>
      <c r="D51" s="170">
        <f>'淘系'!D51+'淘系达播'!D51</f>
      </c>
      <c r="E51" s="170">
        <f>'淘系'!E51+'淘系达播'!E51</f>
      </c>
      <c r="F51" s="170">
        <f>'淘系'!F51+'淘系达播'!F51</f>
      </c>
      <c r="G51" s="170">
        <f>'淘系'!G51+'淘系达播'!G51</f>
      </c>
      <c r="H51" s="170">
        <f>'淘系'!H51+'淘系达播'!H51</f>
      </c>
      <c r="I51" s="170">
        <f>'淘系'!I51+'淘系达播'!I51</f>
      </c>
      <c r="J51" s="170">
        <f>'淘系'!J51+'淘系达播'!J51</f>
      </c>
      <c r="K51" s="170">
        <f>'淘系'!K51+'淘系达播'!K51</f>
      </c>
      <c r="L51" s="170">
        <f>'淘系'!L51+'淘系达播'!L51</f>
      </c>
      <c r="M51" s="170">
        <f>'淘系'!M51+'淘系达播'!M51</f>
      </c>
      <c r="N51" s="170">
        <f>'淘系'!N51+'淘系达播'!N51</f>
      </c>
      <c r="O51" s="118">
        <f>SUM(C51:N51)</f>
      </c>
      <c r="P51" s="120">
        <f>O51/$O$16</f>
      </c>
      <c r="Q51" s="90" t="str">
        <v>线下门店</v>
      </c>
      <c r="R51" s="54"/>
      <c r="S51" s="1"/>
      <c r="T51" s="1"/>
    </row>
    <row r="52">
      <c r="A52" s="1"/>
      <c r="B52" s="83" t="str">
        <v>市场投入费用</v>
      </c>
      <c r="C52" s="115">
        <f>'淘系'!C52+'淘系达播'!C52</f>
      </c>
      <c r="D52" s="115">
        <f>'淘系'!D52+'淘系达播'!D52</f>
      </c>
      <c r="E52" s="115">
        <f>'淘系'!E52+'淘系达播'!E52</f>
      </c>
      <c r="F52" s="115">
        <f>'淘系'!F52+'淘系达播'!F52</f>
      </c>
      <c r="G52" s="115">
        <f>'淘系'!G52+'淘系达播'!G52</f>
      </c>
      <c r="H52" s="115">
        <f>'淘系'!H52+'淘系达播'!H52</f>
      </c>
      <c r="I52" s="115">
        <f>'淘系'!I52+'淘系达播'!I52</f>
      </c>
      <c r="J52" s="115">
        <f>'淘系'!J52+'淘系达播'!J52</f>
      </c>
      <c r="K52" s="115">
        <f>'淘系'!K52+'淘系达播'!K52</f>
      </c>
      <c r="L52" s="115">
        <f>'淘系'!L52+'淘系达播'!L52</f>
      </c>
      <c r="M52" s="115">
        <f>'淘系'!M52+'淘系达播'!M52</f>
      </c>
      <c r="N52" s="115">
        <f>'淘系'!N52+'淘系达播'!N52</f>
      </c>
      <c r="O52" s="115">
        <f>SUM(C52:N52)</f>
      </c>
      <c r="P52" s="116">
        <f>O52/$O$16</f>
      </c>
      <c r="Q52" s="1"/>
      <c r="R52" s="54"/>
      <c r="S52" s="1"/>
      <c r="T52" s="1"/>
    </row>
    <row r="53">
      <c r="A53" s="118"/>
      <c r="B53" s="90" t="str">
        <v>平台佣金</v>
      </c>
      <c r="C53" s="170">
        <f>'淘系'!C53+'淘系达播'!C53</f>
      </c>
      <c r="D53" s="170">
        <f>'淘系'!D53+'淘系达播'!D53</f>
      </c>
      <c r="E53" s="170">
        <f>'淘系'!E53+'淘系达播'!E53</f>
      </c>
      <c r="F53" s="170">
        <f>'淘系'!F53+'淘系达播'!F53</f>
      </c>
      <c r="G53" s="170">
        <f>'淘系'!G53+'淘系达播'!G53</f>
      </c>
      <c r="H53" s="170">
        <f>'淘系'!H53+'淘系达播'!H53</f>
      </c>
      <c r="I53" s="170">
        <f>'淘系'!I53+'淘系达播'!I53</f>
      </c>
      <c r="J53" s="170">
        <f>'淘系'!J53+'淘系达播'!J53</f>
      </c>
      <c r="K53" s="170">
        <f>'淘系'!K53+'淘系达播'!K53</f>
      </c>
      <c r="L53" s="170">
        <f>'淘系'!L53+'淘系达播'!L53</f>
      </c>
      <c r="M53" s="170">
        <f>'淘系'!M53+'淘系达播'!M53</f>
      </c>
      <c r="N53" s="170">
        <f>'淘系'!N53+'淘系达播'!N53</f>
      </c>
      <c r="O53" s="118">
        <f>SUM(C53:N53)</f>
      </c>
      <c r="P53" s="120">
        <f>O53/$O$16</f>
      </c>
      <c r="Q53" s="1"/>
      <c r="R53" s="54"/>
      <c r="S53" s="1"/>
      <c r="T53" s="1"/>
    </row>
    <row r="54">
      <c r="A54" s="118"/>
      <c r="B54" s="90" t="str">
        <v>平台其他费用</v>
      </c>
      <c r="C54" s="170">
        <f>'淘系'!C54+'淘系达播'!C54</f>
      </c>
      <c r="D54" s="170">
        <f>'淘系'!D54+'淘系达播'!D54</f>
      </c>
      <c r="E54" s="170">
        <f>'淘系'!E54+'淘系达播'!E54</f>
      </c>
      <c r="F54" s="170">
        <f>'淘系'!F54+'淘系达播'!F54</f>
      </c>
      <c r="G54" s="170">
        <f>'淘系'!G54+'淘系达播'!G54</f>
      </c>
      <c r="H54" s="170">
        <f>'淘系'!H54+'淘系达播'!H54</f>
      </c>
      <c r="I54" s="170">
        <f>'淘系'!I54+'淘系达播'!I54</f>
      </c>
      <c r="J54" s="170">
        <f>'淘系'!J54+'淘系达播'!J54</f>
      </c>
      <c r="K54" s="170">
        <f>'淘系'!K54+'淘系达播'!K54</f>
      </c>
      <c r="L54" s="170">
        <f>'淘系'!L54+'淘系达播'!L54</f>
      </c>
      <c r="M54" s="170">
        <f>'淘系'!M54+'淘系达播'!M54</f>
      </c>
      <c r="N54" s="170">
        <f>'淘系'!N54+'淘系达播'!N54</f>
      </c>
      <c r="O54" s="118">
        <f>SUM(C54:N54)</f>
      </c>
      <c r="P54" s="120">
        <v>0.014</v>
      </c>
      <c r="Q54" s="1"/>
      <c r="R54" s="54"/>
      <c r="S54" s="1"/>
      <c r="T54" s="1"/>
    </row>
    <row r="55">
      <c r="A55" s="118"/>
      <c r="B55" s="90" t="str">
        <v>售后费用</v>
      </c>
      <c r="C55" s="170">
        <f>'淘系'!C55+'淘系达播'!C55</f>
      </c>
      <c r="D55" s="170">
        <f>'淘系'!D55+'淘系达播'!D55</f>
      </c>
      <c r="E55" s="170">
        <f>'淘系'!E55+'淘系达播'!E55</f>
      </c>
      <c r="F55" s="170">
        <f>'淘系'!F55+'淘系达播'!F55</f>
      </c>
      <c r="G55" s="170">
        <f>'淘系'!G55+'淘系达播'!G55</f>
      </c>
      <c r="H55" s="170">
        <f>'淘系'!H55+'淘系达播'!H55</f>
      </c>
      <c r="I55" s="170">
        <f>'淘系'!I55+'淘系达播'!I55</f>
      </c>
      <c r="J55" s="170">
        <f>'淘系'!J55+'淘系达播'!J55</f>
      </c>
      <c r="K55" s="170">
        <f>'淘系'!K55+'淘系达播'!K55</f>
      </c>
      <c r="L55" s="170">
        <f>'淘系'!L55+'淘系达播'!L55</f>
      </c>
      <c r="M55" s="170">
        <f>'淘系'!M55+'淘系达播'!M55</f>
      </c>
      <c r="N55" s="170">
        <f>'淘系'!N55+'淘系达播'!N55</f>
      </c>
      <c r="O55" s="118">
        <f>SUM(C55:N55)</f>
      </c>
      <c r="P55" s="120">
        <v>0.03</v>
      </c>
      <c r="Q55" s="1"/>
      <c r="R55" s="54"/>
      <c r="S55" s="1"/>
      <c r="T55" s="1"/>
    </row>
    <row r="56">
      <c r="A56" s="118"/>
      <c r="B56" s="90" t="str">
        <v>短信及店铺软件</v>
      </c>
      <c r="C56" s="170">
        <f>'淘系'!C56+'淘系达播'!C56</f>
      </c>
      <c r="D56" s="170">
        <f>'淘系'!D56+'淘系达播'!D56</f>
      </c>
      <c r="E56" s="170">
        <f>'淘系'!E56+'淘系达播'!E56</f>
      </c>
      <c r="F56" s="170">
        <f>'淘系'!F56+'淘系达播'!F56</f>
      </c>
      <c r="G56" s="170">
        <f>'淘系'!G56+'淘系达播'!G56</f>
      </c>
      <c r="H56" s="170">
        <f>'淘系'!H56+'淘系达播'!H56</f>
      </c>
      <c r="I56" s="170">
        <f>'淘系'!I56+'淘系达播'!I56</f>
      </c>
      <c r="J56" s="170">
        <f>'淘系'!J56+'淘系达播'!J56</f>
      </c>
      <c r="K56" s="170">
        <f>'淘系'!K56+'淘系达播'!K56</f>
      </c>
      <c r="L56" s="170">
        <f>'淘系'!L56+'淘系达播'!L56</f>
      </c>
      <c r="M56" s="170">
        <f>'淘系'!M56+'淘系达播'!M56</f>
      </c>
      <c r="N56" s="170">
        <f>'淘系'!N56+'淘系达播'!N56</f>
      </c>
      <c r="O56" s="118">
        <f>SUM(C56:N56)</f>
      </c>
      <c r="P56" s="120">
        <v>0.001</v>
      </c>
      <c r="Q56" s="1"/>
      <c r="R56" s="54"/>
      <c r="S56" s="1"/>
      <c r="T56" s="1"/>
    </row>
    <row r="57">
      <c r="A57" s="118"/>
      <c r="B57" s="90" t="str">
        <v>其他运营费用（咨询调研等）</v>
      </c>
      <c r="C57" s="170">
        <f>'淘系'!C57+'淘系达播'!C57</f>
      </c>
      <c r="D57" s="170">
        <f>'淘系'!D57+'淘系达播'!D57</f>
      </c>
      <c r="E57" s="170">
        <f>'淘系'!E57+'淘系达播'!E57</f>
      </c>
      <c r="F57" s="170">
        <f>'淘系'!F57+'淘系达播'!F57</f>
      </c>
      <c r="G57" s="170">
        <f>'淘系'!G57+'淘系达播'!G57</f>
      </c>
      <c r="H57" s="170">
        <f>'淘系'!H57+'淘系达播'!H57</f>
      </c>
      <c r="I57" s="170">
        <f>'淘系'!I57+'淘系达播'!I57</f>
      </c>
      <c r="J57" s="170">
        <f>'淘系'!J57+'淘系达播'!J57</f>
      </c>
      <c r="K57" s="170">
        <f>'淘系'!K57+'淘系达播'!K57</f>
      </c>
      <c r="L57" s="170">
        <f>'淘系'!L57+'淘系达播'!L57</f>
      </c>
      <c r="M57" s="170">
        <f>'淘系'!M57+'淘系达播'!M57</f>
      </c>
      <c r="N57" s="170">
        <f>'淘系'!N57+'淘系达播'!N57</f>
      </c>
      <c r="O57" s="118">
        <f>SUM(C57:N57)</f>
      </c>
      <c r="P57" s="120">
        <f>O57/$O$16</f>
      </c>
      <c r="Q57" s="90"/>
      <c r="R57" s="54"/>
      <c r="S57" s="1"/>
      <c r="T57" s="1"/>
    </row>
    <row r="58">
      <c r="A58" s="1"/>
      <c r="B58" s="83" t="str">
        <v>店铺运营费用</v>
      </c>
      <c r="C58" s="115">
        <f>'淘系'!C58+'淘系达播'!C58</f>
      </c>
      <c r="D58" s="115">
        <f>'淘系'!D58+'淘系达播'!D58</f>
      </c>
      <c r="E58" s="115">
        <f>'淘系'!E58+'淘系达播'!E58</f>
      </c>
      <c r="F58" s="115">
        <f>'淘系'!F58+'淘系达播'!F58</f>
      </c>
      <c r="G58" s="115">
        <f>'淘系'!G58+'淘系达播'!G58</f>
      </c>
      <c r="H58" s="115">
        <f>'淘系'!H58+'淘系达播'!H58</f>
      </c>
      <c r="I58" s="115">
        <f>'淘系'!I58+'淘系达播'!I58</f>
      </c>
      <c r="J58" s="115">
        <f>'淘系'!J58+'淘系达播'!J58</f>
      </c>
      <c r="K58" s="115">
        <f>'淘系'!K58+'淘系达播'!K58</f>
      </c>
      <c r="L58" s="115">
        <f>'淘系'!L58+'淘系达播'!L58</f>
      </c>
      <c r="M58" s="115">
        <f>'淘系'!M58+'淘系达播'!M58</f>
      </c>
      <c r="N58" s="115">
        <f>'淘系'!N58+'淘系达播'!N58</f>
      </c>
      <c r="O58" s="115">
        <f>SUM(C58:N58)</f>
      </c>
      <c r="P58" s="116">
        <f>O58/$O$16</f>
      </c>
      <c r="Q58" s="1"/>
      <c r="R58" s="54"/>
      <c r="S58" s="1"/>
      <c r="T58" s="1"/>
    </row>
    <row r="59">
      <c r="A59" s="135"/>
      <c r="B59" s="98" t="str">
        <v>A&amp;P 合计数</v>
      </c>
      <c r="C59" s="98">
        <f>'淘系'!C59+'淘系达播'!C59</f>
      </c>
      <c r="D59" s="98">
        <f>'淘系'!D59+'淘系达播'!D59</f>
      </c>
      <c r="E59" s="98">
        <f>'淘系'!E59+'淘系达播'!E59</f>
      </c>
      <c r="F59" s="98">
        <f>'淘系'!F59+'淘系达播'!F59</f>
      </c>
      <c r="G59" s="98">
        <f>'淘系'!G59+'淘系达播'!G59</f>
      </c>
      <c r="H59" s="98">
        <f>'淘系'!H59+'淘系达播'!H59</f>
      </c>
      <c r="I59" s="98">
        <f>'淘系'!I59+'淘系达播'!I59</f>
      </c>
      <c r="J59" s="98">
        <f>'淘系'!J59+'淘系达播'!J59</f>
      </c>
      <c r="K59" s="98">
        <f>'淘系'!K59+'淘系达播'!K59</f>
      </c>
      <c r="L59" s="98">
        <f>'淘系'!L59+'淘系达播'!L59</f>
      </c>
      <c r="M59" s="98">
        <f>'淘系'!M59+'淘系达播'!M59</f>
      </c>
      <c r="N59" s="98">
        <f>'淘系'!N59+'淘系达播'!N59</f>
      </c>
      <c r="O59" s="98">
        <f>SUM(C59:N59)</f>
      </c>
      <c r="P59" s="162">
        <f>O59/$O$16</f>
      </c>
      <c r="Q59" s="135"/>
      <c r="R59" s="175"/>
      <c r="S59" s="1"/>
      <c r="T59" s="1"/>
    </row>
    <row r="60">
      <c r="A60" s="135"/>
      <c r="B60" s="98" t="str">
        <v>店铺利润</v>
      </c>
      <c r="C60" s="98">
        <f>'淘系'!C60+'淘系达播'!C60</f>
      </c>
      <c r="D60" s="98">
        <f>'淘系'!D60+'淘系达播'!D60</f>
      </c>
      <c r="E60" s="98">
        <f>'淘系'!E60+'淘系达播'!E60</f>
      </c>
      <c r="F60" s="98">
        <f>'淘系'!F60+'淘系达播'!F60</f>
      </c>
      <c r="G60" s="98">
        <f>'淘系'!G60+'淘系达播'!G60</f>
      </c>
      <c r="H60" s="98">
        <f>'淘系'!H60+'淘系达播'!H60</f>
      </c>
      <c r="I60" s="98">
        <f>'淘系'!I60+'淘系达播'!I60</f>
      </c>
      <c r="J60" s="98">
        <f>'淘系'!J60+'淘系达播'!J60</f>
      </c>
      <c r="K60" s="98">
        <f>'淘系'!K60+'淘系达播'!K60</f>
      </c>
      <c r="L60" s="98">
        <f>'淘系'!L60+'淘系达播'!L60</f>
      </c>
      <c r="M60" s="98">
        <f>'淘系'!M60+'淘系达播'!M60</f>
      </c>
      <c r="N60" s="98">
        <f>'淘系'!N60+'淘系达播'!N60</f>
      </c>
      <c r="O60" s="98">
        <f>SUM(C60:N60)</f>
      </c>
      <c r="P60" s="162">
        <f>O60/$O$16</f>
      </c>
      <c r="Q60" s="135"/>
      <c r="R60" s="175"/>
      <c r="S60" s="1"/>
      <c r="T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>
        <f>O60-'淘系'!O60-'淘系达播'!O60</f>
      </c>
      <c r="P61" s="1"/>
      <c r="Q61" s="1"/>
      <c r="R61" s="54"/>
      <c r="S61" s="1"/>
      <c r="T61" s="1"/>
    </row>
    <row r="62">
      <c r="A62" s="1"/>
      <c r="B62" s="1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"/>
      <c r="Q62" s="1"/>
      <c r="R62" s="54"/>
      <c r="S62" s="1"/>
      <c r="T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54"/>
      <c r="S63" s="1"/>
      <c r="T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54"/>
      <c r="S64" s="1"/>
      <c r="T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54"/>
      <c r="S65" s="1"/>
      <c r="T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54"/>
      <c r="S66" s="1"/>
      <c r="T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54"/>
      <c r="S67" s="1"/>
      <c r="T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54"/>
      <c r="S68" s="1"/>
      <c r="T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54"/>
      <c r="S69" s="1"/>
      <c r="T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54"/>
      <c r="S70" s="1"/>
      <c r="T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54"/>
      <c r="S71" s="1"/>
      <c r="T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54"/>
      <c r="S72" s="1"/>
      <c r="T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54"/>
      <c r="S73" s="1"/>
      <c r="T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54"/>
      <c r="S74" s="1"/>
      <c r="T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54"/>
      <c r="S75" s="1"/>
      <c r="T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54"/>
      <c r="S76" s="1"/>
      <c r="T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54"/>
      <c r="S77" s="1"/>
      <c r="T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54"/>
      <c r="S78" s="1"/>
      <c r="T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54"/>
      <c r="S79" s="1"/>
      <c r="T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54"/>
      <c r="S80" s="1"/>
      <c r="T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54"/>
      <c r="S81" s="1"/>
      <c r="T81" s="1"/>
    </row>
    <row r="82">
      <c r="A82" s="1"/>
      <c r="B82" s="1"/>
      <c r="C82" s="158">
        <f>C16-C18-C20-C26-C37-C44-C47-C58-C60</f>
      </c>
      <c r="D82" s="158">
        <f>D16-D18-D20-D26-D37-D44-D47-D58-D60</f>
      </c>
      <c r="E82" s="158">
        <f>E16-E18-E20-E26-E37-E44-E47-E58-E60</f>
      </c>
      <c r="F82" s="158">
        <f>F16-F18-F20-F26-F37-F44-F47-F58-F60</f>
      </c>
      <c r="G82" s="158">
        <f>G16-G18-G20-G26-G37-G44-G47-G58-G60</f>
      </c>
      <c r="H82" s="158">
        <f>H16-H18-H20-H26-H37-H44-H47-H58-H60</f>
      </c>
      <c r="I82" s="158">
        <f>I16-I18-I20-I26-I37-I44-I47-I58-I60</f>
      </c>
      <c r="J82" s="158">
        <f>J16-J18-J20-J26-J37-J44-J47-J58-J60</f>
      </c>
      <c r="K82" s="158">
        <f>K16-K18-K20-K26-K37-K44-K47-K58-K60</f>
      </c>
      <c r="L82" s="158">
        <f>L16-L18-L20-L26-L37-L44-L47-L58-L60</f>
      </c>
      <c r="M82" s="158">
        <f>M16-M18-M20-M26-M37-M44-M47-M58-M60</f>
      </c>
      <c r="N82" s="158">
        <f>N16-N18-N20-N26-N37-N44-N47-N58-N60</f>
      </c>
      <c r="O82" s="158">
        <f>O16-O18-O20-O26-O37-O44-O47-O58-O60</f>
      </c>
      <c r="P82" s="1"/>
      <c r="Q82" s="1"/>
      <c r="R82" s="54"/>
      <c r="S82" s="1"/>
      <c r="T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54"/>
      <c r="S83" s="1"/>
      <c r="T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54"/>
      <c r="S84" s="1"/>
      <c r="T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54"/>
      <c r="S85" s="1"/>
      <c r="T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54"/>
      <c r="S86" s="1"/>
      <c r="T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54"/>
      <c r="S87" s="1"/>
      <c r="T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54"/>
      <c r="S88" s="1"/>
      <c r="T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54"/>
      <c r="S89" s="1"/>
      <c r="T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54"/>
      <c r="S90" s="1"/>
      <c r="T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54"/>
      <c r="S91" s="1"/>
      <c r="T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54"/>
      <c r="S92" s="1"/>
      <c r="T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54"/>
      <c r="S93" s="1"/>
      <c r="T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54"/>
      <c r="S94" s="1"/>
      <c r="T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54"/>
      <c r="S95" s="1"/>
      <c r="T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54"/>
      <c r="S96" s="1"/>
      <c r="T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54"/>
      <c r="S97" s="1"/>
      <c r="T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54"/>
      <c r="S98" s="1"/>
      <c r="T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54"/>
      <c r="S99" s="1"/>
      <c r="T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54"/>
      <c r="S100" s="1"/>
      <c r="T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54"/>
      <c r="S101" s="1"/>
      <c r="T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54"/>
      <c r="S102" s="1"/>
      <c r="T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54"/>
      <c r="S103" s="1"/>
      <c r="T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54"/>
      <c r="S104" s="1"/>
      <c r="T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54"/>
      <c r="S105" s="1"/>
      <c r="T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54"/>
      <c r="S106" s="1"/>
      <c r="T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54"/>
      <c r="S107" s="1"/>
      <c r="T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54"/>
      <c r="S108" s="1"/>
      <c r="T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54"/>
      <c r="S109" s="1"/>
      <c r="T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54"/>
      <c r="S110" s="1"/>
      <c r="T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54"/>
      <c r="S111" s="1"/>
      <c r="T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54"/>
      <c r="S112" s="1"/>
      <c r="T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54"/>
      <c r="S113" s="1"/>
      <c r="T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54"/>
      <c r="S114" s="1"/>
      <c r="T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54"/>
      <c r="S115" s="1"/>
      <c r="T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54"/>
      <c r="S116" s="1"/>
      <c r="T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54"/>
      <c r="S117" s="1"/>
      <c r="T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54"/>
      <c r="S118" s="1"/>
      <c r="T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54"/>
      <c r="S119" s="1"/>
      <c r="T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54"/>
      <c r="S120" s="1"/>
      <c r="T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54"/>
      <c r="S121" s="1"/>
      <c r="T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54"/>
      <c r="S122" s="1"/>
      <c r="T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54"/>
      <c r="S123" s="1"/>
      <c r="T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54"/>
      <c r="S124" s="1"/>
      <c r="T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54"/>
      <c r="S125" s="1"/>
      <c r="T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54"/>
      <c r="S126" s="1"/>
      <c r="T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54"/>
      <c r="S127" s="1"/>
      <c r="T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54"/>
      <c r="S128" s="1"/>
      <c r="T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54"/>
      <c r="S129" s="1"/>
      <c r="T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54"/>
      <c r="S130" s="1"/>
      <c r="T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54"/>
      <c r="S131" s="1"/>
      <c r="T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54"/>
      <c r="S132" s="1"/>
      <c r="T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54"/>
      <c r="S133" s="1"/>
      <c r="T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54"/>
      <c r="S134" s="1"/>
      <c r="T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54"/>
      <c r="S135" s="1"/>
      <c r="T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54"/>
      <c r="S136" s="1"/>
      <c r="T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54"/>
      <c r="S137" s="1"/>
      <c r="T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54"/>
      <c r="S138" s="1"/>
      <c r="T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54"/>
      <c r="S139" s="1"/>
      <c r="T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54"/>
      <c r="S140" s="1"/>
      <c r="T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54"/>
      <c r="S141" s="1"/>
      <c r="T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54"/>
      <c r="S142" s="1"/>
      <c r="T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54"/>
      <c r="S143" s="1"/>
      <c r="T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54"/>
      <c r="S144" s="1"/>
      <c r="T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54"/>
      <c r="S145" s="1"/>
      <c r="T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54"/>
      <c r="S146" s="1"/>
      <c r="T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54"/>
      <c r="S147" s="1"/>
      <c r="T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54"/>
      <c r="S148" s="1"/>
      <c r="T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54"/>
      <c r="S149" s="1"/>
      <c r="T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54"/>
      <c r="S150" s="1"/>
      <c r="T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54"/>
      <c r="S151" s="1"/>
      <c r="T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54"/>
      <c r="S152" s="1"/>
      <c r="T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54"/>
      <c r="S153" s="1"/>
      <c r="T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54"/>
      <c r="S154" s="1"/>
      <c r="T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54"/>
      <c r="S155" s="1"/>
      <c r="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54"/>
      <c r="S156" s="1"/>
      <c r="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54"/>
      <c r="S157" s="1"/>
      <c r="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54"/>
      <c r="S158" s="1"/>
      <c r="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54"/>
      <c r="S159" s="1"/>
      <c r="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54"/>
      <c r="S160" s="1"/>
      <c r="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54"/>
      <c r="S161" s="1"/>
      <c r="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54"/>
      <c r="S162" s="1"/>
      <c r="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54"/>
      <c r="S163" s="1"/>
      <c r="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54"/>
      <c r="S164" s="1"/>
      <c r="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54"/>
      <c r="S165" s="1"/>
      <c r="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54"/>
      <c r="S166" s="1"/>
      <c r="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54"/>
      <c r="S167" s="1"/>
      <c r="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54"/>
      <c r="S168" s="1"/>
      <c r="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54"/>
      <c r="S169" s="1"/>
      <c r="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54"/>
      <c r="S170" s="1"/>
      <c r="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54"/>
      <c r="S171" s="1"/>
      <c r="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54"/>
      <c r="S172" s="1"/>
      <c r="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54"/>
      <c r="S173" s="1"/>
      <c r="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54"/>
      <c r="S174" s="1"/>
      <c r="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54"/>
      <c r="S175" s="1"/>
      <c r="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54"/>
      <c r="S176" s="1"/>
      <c r="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54"/>
      <c r="S177" s="1"/>
      <c r="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54"/>
      <c r="S178" s="1"/>
      <c r="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54"/>
      <c r="S179" s="1"/>
      <c r="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54"/>
      <c r="S180" s="1"/>
      <c r="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54"/>
      <c r="S181" s="1"/>
      <c r="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54"/>
      <c r="S182" s="1"/>
      <c r="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54"/>
      <c r="S183" s="1"/>
      <c r="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54"/>
      <c r="S184" s="1"/>
      <c r="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54"/>
      <c r="S185" s="1"/>
      <c r="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54"/>
      <c r="S186" s="1"/>
      <c r="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54"/>
      <c r="S187" s="1"/>
      <c r="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54"/>
      <c r="S188" s="1"/>
      <c r="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54"/>
      <c r="S189" s="1"/>
      <c r="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54"/>
      <c r="S190" s="1"/>
      <c r="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54"/>
      <c r="S191" s="1"/>
      <c r="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54"/>
      <c r="S192" s="1"/>
      <c r="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54"/>
      <c r="S193" s="1"/>
      <c r="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54"/>
      <c r="S194" s="1"/>
      <c r="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54"/>
      <c r="S195" s="1"/>
      <c r="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54"/>
      <c r="S196" s="1"/>
      <c r="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54"/>
      <c r="S197" s="1"/>
      <c r="T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54"/>
      <c r="S198" s="1"/>
      <c r="T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54"/>
      <c r="S199" s="1"/>
      <c r="T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54"/>
      <c r="S200" s="1"/>
      <c r="T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54"/>
      <c r="S201" s="1"/>
      <c r="T201" s="1"/>
    </row>
  </sheetData>
  <picture r:id="rId1"/>
</worksheet>
</file>

<file path=xl/worksheets/sheet11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1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A1" s="1"/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  <c r="R1" s="54"/>
      <c r="S1" s="1"/>
      <c r="T1" s="1"/>
    </row>
    <row customHeight="true" ht="19" r="2">
      <c r="A2" s="1"/>
      <c r="B2" s="90" t="str">
        <v>退后销量</v>
      </c>
      <c r="C2" s="118">
        <v>26085.02063245044</v>
      </c>
      <c r="D2" s="118">
        <v>23791.83200542183</v>
      </c>
      <c r="E2" s="118">
        <v>27804.912102721897</v>
      </c>
      <c r="F2" s="118">
        <v>23075.21055947539</v>
      </c>
      <c r="G2" s="118">
        <v>40274.12526218997</v>
      </c>
      <c r="H2" s="118">
        <v>34827.80227299702</v>
      </c>
      <c r="I2" s="118">
        <v>22645.237691907525</v>
      </c>
      <c r="J2" s="118">
        <v>28464.20383299262</v>
      </c>
      <c r="K2" s="118">
        <v>31388.0193324541</v>
      </c>
      <c r="L2" s="118">
        <v>41592.70872273142</v>
      </c>
      <c r="M2" s="118">
        <v>32333.959641103404</v>
      </c>
      <c r="N2" s="118">
        <v>28894.17670056049</v>
      </c>
      <c r="O2" s="118">
        <f>SUM(C2:N2)</f>
      </c>
      <c r="P2" s="118"/>
      <c r="Q2" s="1"/>
      <c r="R2" s="54"/>
      <c r="S2" s="1"/>
      <c r="T2" s="1"/>
    </row>
    <row customHeight="true" ht="19" r="3">
      <c r="A3" s="135"/>
      <c r="B3" s="94" t="str">
        <v>自补前GMV</v>
      </c>
      <c r="C3" s="94">
        <f>C6/(1-$P$12)</f>
      </c>
      <c r="D3" s="94">
        <f>D6/(1-$P$12)</f>
      </c>
      <c r="E3" s="94">
        <f>E6/(1-$P$12)</f>
      </c>
      <c r="F3" s="94">
        <f>F6/(1-$P$12)</f>
      </c>
      <c r="G3" s="94">
        <f>G6/(1-$P$12)</f>
      </c>
      <c r="H3" s="94">
        <f>H6/(1-$P$12)</f>
      </c>
      <c r="I3" s="94">
        <f>I6/(1-$P$12)</f>
      </c>
      <c r="J3" s="94">
        <f>J6/(1-$P$12)</f>
      </c>
      <c r="K3" s="94">
        <f>K6/(1-$P$12)</f>
      </c>
      <c r="L3" s="94">
        <f>L6/(1-$P$12)</f>
      </c>
      <c r="M3" s="94">
        <f>M6/(1-$P$12)</f>
      </c>
      <c r="N3" s="94">
        <f>N6/(1-$P$12)</f>
      </c>
      <c r="O3" s="94">
        <f>SUM(C3:N3)</f>
      </c>
      <c r="P3" s="94"/>
      <c r="Q3" s="146" t="str">
        <v>渠道填写</v>
      </c>
      <c r="R3" s="54"/>
      <c r="S3" s="1"/>
      <c r="T3" s="1"/>
    </row>
    <row customHeight="true" ht="19" r="4">
      <c r="A4" s="135"/>
      <c r="B4" s="94" t="str">
        <v>自补前GSV</v>
      </c>
      <c r="C4" s="94">
        <v>10161972.65</v>
      </c>
      <c r="D4" s="94">
        <v>8521177.913</v>
      </c>
      <c r="E4" s="94">
        <v>8402887.455</v>
      </c>
      <c r="F4" s="94">
        <v>7171008.076</v>
      </c>
      <c r="G4" s="94">
        <v>18966588.08</v>
      </c>
      <c r="H4" s="94">
        <v>15143423.92</v>
      </c>
      <c r="I4" s="94">
        <v>9590004.139</v>
      </c>
      <c r="J4" s="94">
        <v>15295930.61</v>
      </c>
      <c r="K4" s="94">
        <v>10084320.34</v>
      </c>
      <c r="L4" s="94">
        <v>21174740.58</v>
      </c>
      <c r="M4" s="94">
        <v>15996572.9</v>
      </c>
      <c r="N4" s="94">
        <v>11430007.25</v>
      </c>
      <c r="O4" s="94">
        <f>SUM(C4:N4)</f>
      </c>
      <c r="P4" s="94"/>
      <c r="Q4" s="146" t="str">
        <v>渠道填写</v>
      </c>
      <c r="R4" s="54"/>
      <c r="S4" s="1"/>
      <c r="T4" s="1"/>
    </row>
    <row r="5">
      <c r="A5" s="135"/>
      <c r="B5" s="94" t="str">
        <v>国补自补费用</v>
      </c>
      <c r="C5" s="94">
        <f>C4*$P$12</f>
      </c>
      <c r="D5" s="94">
        <f>D4*$P$12</f>
      </c>
      <c r="E5" s="94">
        <f>E4*$P$12</f>
      </c>
      <c r="F5" s="94">
        <f>F4*$P$12</f>
      </c>
      <c r="G5" s="94">
        <f>G4*$P$12</f>
      </c>
      <c r="H5" s="94">
        <f>H4*$P$12</f>
      </c>
      <c r="I5" s="94">
        <f>I4*$P$12</f>
      </c>
      <c r="J5" s="94">
        <f>J4*$P$12</f>
      </c>
      <c r="K5" s="94">
        <f>K4*$P$12</f>
      </c>
      <c r="L5" s="94">
        <f>L4*$P$12</f>
      </c>
      <c r="M5" s="94">
        <f>M4*$P$12</f>
      </c>
      <c r="N5" s="94">
        <f>N4*$P$12</f>
      </c>
      <c r="O5" s="94">
        <f>SUM(C5:N5)</f>
      </c>
      <c r="P5" s="94"/>
      <c r="Q5" s="146" t="str">
        <v>渠道填写</v>
      </c>
      <c r="R5" s="54"/>
      <c r="S5" s="1"/>
      <c r="T5" s="1"/>
    </row>
    <row r="6">
      <c r="A6" s="135"/>
      <c r="B6" s="98" t="str">
        <v>GMV（国补后）</v>
      </c>
      <c r="C6" s="98">
        <v>11234758.057</v>
      </c>
      <c r="D6" s="98">
        <v>9417871.2335</v>
      </c>
      <c r="E6" s="98">
        <v>9429233.268499998</v>
      </c>
      <c r="F6" s="98">
        <v>7545282.5024</v>
      </c>
      <c r="G6" s="98">
        <v>21306250.849499997</v>
      </c>
      <c r="H6" s="98">
        <v>15955655.277499998</v>
      </c>
      <c r="I6" s="98">
        <v>10880771.12</v>
      </c>
      <c r="J6" s="98">
        <v>18312029.7145</v>
      </c>
      <c r="K6" s="98">
        <v>13349002.7775</v>
      </c>
      <c r="L6" s="98">
        <v>25049331.36</v>
      </c>
      <c r="M6" s="98">
        <v>19417480.2995</v>
      </c>
      <c r="N6" s="98">
        <v>12967101.559999999</v>
      </c>
      <c r="O6" s="98">
        <f>SUM(C6:N6)</f>
      </c>
      <c r="P6" s="98"/>
      <c r="Q6" s="146" t="str">
        <v>渠道填写</v>
      </c>
      <c r="R6" s="54"/>
      <c r="S6" s="1"/>
      <c r="T6" s="1"/>
    </row>
    <row r="7">
      <c r="A7" s="135"/>
      <c r="B7" s="102" t="str">
        <v>退货率（发货前+后）</v>
      </c>
      <c r="C7" s="102">
        <v>0.231164863</v>
      </c>
      <c r="D7" s="102">
        <v>0.230930107</v>
      </c>
      <c r="E7" s="102">
        <v>0.242520136</v>
      </c>
      <c r="F7" s="102">
        <v>0.192163201</v>
      </c>
      <c r="G7" s="102">
        <v>0.243339432</v>
      </c>
      <c r="H7" s="102">
        <v>0.193269715</v>
      </c>
      <c r="I7" s="102">
        <v>0.250834024</v>
      </c>
      <c r="J7" s="102">
        <v>0.290000005</v>
      </c>
      <c r="K7" s="102">
        <v>0.357879204</v>
      </c>
      <c r="L7" s="102">
        <v>0.28147665</v>
      </c>
      <c r="M7" s="102">
        <v>0.299750186</v>
      </c>
      <c r="N7" s="102">
        <v>0.250757301</v>
      </c>
      <c r="O7" s="102">
        <f>1-O8/O6</f>
      </c>
      <c r="P7" s="102"/>
      <c r="Q7" s="1" t="str">
        <v>渠道填写</v>
      </c>
      <c r="R7" s="54"/>
      <c r="S7" s="1"/>
      <c r="T7" s="1"/>
    </row>
    <row r="8">
      <c r="A8" s="135"/>
      <c r="B8" s="98" t="str">
        <v>GSV（国补后）</v>
      </c>
      <c r="C8" s="98">
        <f>C6*(1-C7)</f>
      </c>
      <c r="D8" s="98">
        <f>D6*(1-D7)</f>
      </c>
      <c r="E8" s="98">
        <f>E6*(1-E7)</f>
      </c>
      <c r="F8" s="98">
        <f>F6*(1-F7)</f>
      </c>
      <c r="G8" s="98">
        <f>G6*(1-G7)</f>
      </c>
      <c r="H8" s="98">
        <f>H6*(1-H7)</f>
      </c>
      <c r="I8" s="98">
        <f>I6*(1-I7)</f>
      </c>
      <c r="J8" s="98">
        <f>J6*(1-J7)</f>
      </c>
      <c r="K8" s="98">
        <f>K6*(1-K7)</f>
      </c>
      <c r="L8" s="98">
        <f>L6*(1-L7)</f>
      </c>
      <c r="M8" s="98">
        <f>M6*(1-M7)</f>
      </c>
      <c r="N8" s="98">
        <f>N6*(1-N7)</f>
      </c>
      <c r="O8" s="98">
        <f>SUM(C8:N8)</f>
      </c>
      <c r="P8" s="98"/>
      <c r="Q8" s="1" t="str">
        <v>渠道填写</v>
      </c>
      <c r="R8" s="54"/>
      <c r="S8" s="1"/>
      <c r="T8" s="1"/>
    </row>
    <row customHeight="true" ht="19" r="9">
      <c r="A9" s="1"/>
      <c r="B9" s="90"/>
      <c r="C9" s="88">
        <f>C8+C14-C10</f>
      </c>
      <c r="D9" s="88">
        <f>D8+D14-D10</f>
      </c>
      <c r="E9" s="88">
        <f>E8+E14-E10</f>
      </c>
      <c r="F9" s="88">
        <f>F8+F14-F10</f>
      </c>
      <c r="G9" s="88">
        <f>G8+G14-G10</f>
      </c>
      <c r="H9" s="88">
        <f>H8+H14-H10</f>
      </c>
      <c r="I9" s="88">
        <f>I8+I14-I10</f>
      </c>
      <c r="J9" s="88">
        <f>J8+J14-J10</f>
      </c>
      <c r="K9" s="88">
        <f>K8+K14-K10</f>
      </c>
      <c r="L9" s="88">
        <f>L8+L14-L10</f>
      </c>
      <c r="M9" s="88">
        <f>M8+M14-M10</f>
      </c>
      <c r="N9" s="88">
        <f>N8+N14-N10</f>
      </c>
      <c r="O9" s="88">
        <f>O8+O14-O10</f>
      </c>
      <c r="P9" s="118"/>
      <c r="Q9" s="1"/>
      <c r="R9" s="54"/>
      <c r="S9" s="1"/>
      <c r="T9" s="1"/>
    </row>
    <row r="10">
      <c r="A10" s="135"/>
      <c r="B10" s="98" t="str">
        <v>零售价</v>
      </c>
      <c r="C10" s="98">
        <f>C4+C13</f>
      </c>
      <c r="D10" s="98">
        <f>D4+D13</f>
      </c>
      <c r="E10" s="98">
        <f>E4+E13</f>
      </c>
      <c r="F10" s="98">
        <f>F4+F13</f>
      </c>
      <c r="G10" s="98">
        <f>G4+G13</f>
      </c>
      <c r="H10" s="98">
        <f>H4+H13</f>
      </c>
      <c r="I10" s="98">
        <f>I4+I13</f>
      </c>
      <c r="J10" s="98">
        <f>J4+J13</f>
      </c>
      <c r="K10" s="98">
        <f>K4+K13</f>
      </c>
      <c r="L10" s="98">
        <f>L4+L13</f>
      </c>
      <c r="M10" s="98">
        <f>M4+M13</f>
      </c>
      <c r="N10" s="98">
        <f>N4+N13</f>
      </c>
      <c r="O10" s="98">
        <f>SUM(C10:N10)</f>
      </c>
      <c r="P10" s="98"/>
      <c r="Q10" s="126" t="str">
        <v>渠道填写</v>
      </c>
      <c r="R10" s="54"/>
      <c r="S10" s="1"/>
      <c r="T10" s="1"/>
    </row>
    <row r="11">
      <c r="A11" s="1"/>
      <c r="B11" s="85" t="str">
        <v>合同折扣及返利 (线下）</v>
      </c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>
        <f>SUM(C11:N11)</f>
      </c>
      <c r="P11" s="127"/>
      <c r="Q11" s="1" t="str">
        <v>线下渠道填写</v>
      </c>
      <c r="R11" s="54"/>
      <c r="S11" s="1"/>
      <c r="T11" s="1"/>
    </row>
    <row r="12">
      <c r="A12" s="1"/>
      <c r="B12" s="85" t="str">
        <v>国补自补 （线上）</v>
      </c>
      <c r="C12" s="127">
        <f>C4*$P$12</f>
      </c>
      <c r="D12" s="127">
        <f>D4*$P$12</f>
      </c>
      <c r="E12" s="127">
        <f>E4*$P$12</f>
      </c>
      <c r="F12" s="127">
        <f>F4*$P$12</f>
      </c>
      <c r="G12" s="127">
        <f>G4*$P$12</f>
      </c>
      <c r="H12" s="127">
        <f>H4*$P$12</f>
      </c>
      <c r="I12" s="127">
        <f>I4*$P$12</f>
      </c>
      <c r="J12" s="127">
        <f>J4*$P$12</f>
      </c>
      <c r="K12" s="127">
        <f>K4*$P$12</f>
      </c>
      <c r="L12" s="127">
        <f>L4*$P$12</f>
      </c>
      <c r="M12" s="127">
        <f>M4*$P$12</f>
      </c>
      <c r="N12" s="127">
        <f>N4*$P$12</f>
      </c>
      <c r="O12" s="127">
        <f>SUM(C12:N12)</f>
      </c>
      <c r="P12" s="173">
        <v>0.15</v>
      </c>
      <c r="Q12" s="1" t="str">
        <v>渠道填写</v>
      </c>
      <c r="R12" s="54">
        <f>O12/$O$10</f>
      </c>
      <c r="S12" s="1"/>
      <c r="T12" s="1"/>
    </row>
    <row r="13">
      <c r="A13" s="1"/>
      <c r="B13" s="174" t="str">
        <v>红包消费券等促销折扣</v>
      </c>
      <c r="C13" s="127">
        <f>C4*3%</f>
      </c>
      <c r="D13" s="127">
        <f>D4*3%</f>
      </c>
      <c r="E13" s="127">
        <f>E4*3%</f>
      </c>
      <c r="F13" s="127">
        <f>F4*6%</f>
      </c>
      <c r="G13" s="127">
        <f>G4*6%</f>
      </c>
      <c r="H13" s="127">
        <f>H4*6%</f>
      </c>
      <c r="I13" s="127">
        <f>I4*6%</f>
      </c>
      <c r="J13" s="127">
        <f>J4*6%</f>
      </c>
      <c r="K13" s="127">
        <f>K4*6%</f>
      </c>
      <c r="L13" s="127">
        <f>L4*6%</f>
      </c>
      <c r="M13" s="127">
        <f>M4*6%</f>
      </c>
      <c r="N13" s="127">
        <f>N4*6%</f>
      </c>
      <c r="O13" s="127">
        <f>SUM(C13:N13)</f>
      </c>
      <c r="P13" s="127"/>
      <c r="Q13" s="1" t="str">
        <v>渠道填写</v>
      </c>
      <c r="R13" s="54">
        <f>O13/$O$10</f>
      </c>
      <c r="S13" s="1"/>
      <c r="T13" s="1"/>
    </row>
    <row r="14">
      <c r="A14" s="1"/>
      <c r="B14" s="83" t="str">
        <v>TTL 折扣合计</v>
      </c>
      <c r="C14" s="115">
        <f>SUM(C11:C13)</f>
      </c>
      <c r="D14" s="115">
        <f>SUM(D11:D13)</f>
      </c>
      <c r="E14" s="115">
        <f>SUM(E11:E13)</f>
      </c>
      <c r="F14" s="115">
        <f>SUM(F11:F13)</f>
      </c>
      <c r="G14" s="115">
        <f>SUM(G11:G13)</f>
      </c>
      <c r="H14" s="115">
        <f>SUM(H11:H13)</f>
      </c>
      <c r="I14" s="115">
        <f>SUM(I11:I13)</f>
      </c>
      <c r="J14" s="115">
        <f>SUM(J11:J13)</f>
      </c>
      <c r="K14" s="115">
        <f>SUM(K11:K13)</f>
      </c>
      <c r="L14" s="115">
        <f>SUM(L11:L13)</f>
      </c>
      <c r="M14" s="115">
        <f>SUM(M11:M13)</f>
      </c>
      <c r="N14" s="115">
        <f>SUM(N11:N13)</f>
      </c>
      <c r="O14" s="115">
        <f>SUM(C14:N14)</f>
      </c>
      <c r="P14" s="176">
        <f>O14/O10</f>
      </c>
      <c r="Q14" s="1"/>
      <c r="R14" s="54">
        <f>O14/$O$10</f>
      </c>
      <c r="S14" s="1"/>
      <c r="T14" s="1"/>
    </row>
    <row r="15">
      <c r="A15" s="135"/>
      <c r="B15" s="98" t="str">
        <v>GSV</v>
      </c>
      <c r="C15" s="98">
        <f>C8</f>
      </c>
      <c r="D15" s="98">
        <f>D8</f>
      </c>
      <c r="E15" s="98">
        <f>E8</f>
      </c>
      <c r="F15" s="98">
        <f>F8</f>
      </c>
      <c r="G15" s="98">
        <f>G8</f>
      </c>
      <c r="H15" s="98">
        <f>H8</f>
      </c>
      <c r="I15" s="98">
        <f>I8</f>
      </c>
      <c r="J15" s="98">
        <f>J8</f>
      </c>
      <c r="K15" s="98">
        <f>K8</f>
      </c>
      <c r="L15" s="98">
        <f>L8</f>
      </c>
      <c r="M15" s="98">
        <f>M8</f>
      </c>
      <c r="N15" s="98">
        <f>N8</f>
      </c>
      <c r="O15" s="98">
        <f>SUM(C15:N15)</f>
      </c>
      <c r="P15" s="98"/>
      <c r="Q15" s="1"/>
      <c r="R15" s="54"/>
      <c r="S15" s="1"/>
      <c r="T15" s="1"/>
    </row>
    <row r="16">
      <c r="A16" s="135"/>
      <c r="B16" s="98" t="str">
        <v>营业收入</v>
      </c>
      <c r="C16" s="98">
        <f>+C8/1.13</f>
      </c>
      <c r="D16" s="98">
        <f>+D8/1.13</f>
      </c>
      <c r="E16" s="98">
        <f>+E8/1.13</f>
      </c>
      <c r="F16" s="98">
        <f>+F8/1.13</f>
      </c>
      <c r="G16" s="98">
        <f>+G8/1.13</f>
      </c>
      <c r="H16" s="98">
        <f>+H8/1.13</f>
      </c>
      <c r="I16" s="98">
        <f>+I8/1.13</f>
      </c>
      <c r="J16" s="98">
        <f>+J8/1.13</f>
      </c>
      <c r="K16" s="98">
        <f>+K8/1.13</f>
      </c>
      <c r="L16" s="98">
        <f>+L8/1.13</f>
      </c>
      <c r="M16" s="98">
        <f>+M8/1.13</f>
      </c>
      <c r="N16" s="98">
        <f>+N8/1.13</f>
      </c>
      <c r="O16" s="98">
        <f>SUM(C16:N16)</f>
      </c>
      <c r="P16" s="98"/>
      <c r="Q16" s="1"/>
      <c r="R16" s="54"/>
      <c r="S16" s="1"/>
      <c r="T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54"/>
      <c r="S17" s="1"/>
      <c r="T17" s="1"/>
    </row>
    <row r="18">
      <c r="A18" s="1"/>
      <c r="B18" s="85" t="str">
        <v>标准主品配件成本</v>
      </c>
      <c r="C18" s="127">
        <f>C64*C65</f>
      </c>
      <c r="D18" s="127">
        <f>D64*D65</f>
      </c>
      <c r="E18" s="127">
        <f>E64*E65</f>
      </c>
      <c r="F18" s="127">
        <f>F64*F65</f>
      </c>
      <c r="G18" s="127">
        <f>G64*G65</f>
      </c>
      <c r="H18" s="127">
        <f>H64*H65</f>
      </c>
      <c r="I18" s="127">
        <f>I64*I65</f>
      </c>
      <c r="J18" s="127">
        <f>J64*J65</f>
      </c>
      <c r="K18" s="127">
        <f>K64*K65</f>
      </c>
      <c r="L18" s="127">
        <f>L64*L65</f>
      </c>
      <c r="M18" s="127">
        <f>M64*M65</f>
      </c>
      <c r="N18" s="127">
        <f>N64*N65</f>
      </c>
      <c r="O18" s="127">
        <f>SUM(C18:N18)</f>
      </c>
      <c r="P18" s="128">
        <f>O18/O16</f>
      </c>
      <c r="Q18" s="1"/>
      <c r="R18" s="54"/>
      <c r="S18" s="1"/>
      <c r="T18" s="1"/>
    </row>
    <row r="19">
      <c r="A19" s="1"/>
      <c r="B19" s="83" t="str">
        <v>产品毛利</v>
      </c>
      <c r="C19" s="115">
        <f>C16-C18</f>
      </c>
      <c r="D19" s="115">
        <f>D16-D18</f>
      </c>
      <c r="E19" s="115">
        <f>E16-E18</f>
      </c>
      <c r="F19" s="115">
        <f>F16-F18</f>
      </c>
      <c r="G19" s="115">
        <f>G16-G18</f>
      </c>
      <c r="H19" s="115">
        <f>H16-H18</f>
      </c>
      <c r="I19" s="115">
        <f>I16-I18</f>
      </c>
      <c r="J19" s="115">
        <f>J16-J18</f>
      </c>
      <c r="K19" s="115">
        <f>K16-K18</f>
      </c>
      <c r="L19" s="115">
        <f>L16-L18</f>
      </c>
      <c r="M19" s="115">
        <f>M16-M18</f>
      </c>
      <c r="N19" s="115">
        <f>N16-N18</f>
      </c>
      <c r="O19" s="115">
        <f>SUM(C19:N19)</f>
      </c>
      <c r="P19" s="116">
        <f>O19/$O$16</f>
      </c>
      <c r="Q19" s="1"/>
      <c r="R19" s="54"/>
      <c r="S19" s="1"/>
      <c r="T19" s="1"/>
    </row>
    <row r="20">
      <c r="A20" s="118"/>
      <c r="B20" s="90" t="str">
        <v>头程/尾程物流/仓储费用</v>
      </c>
      <c r="C20" s="118">
        <f>C16*2.5%</f>
      </c>
      <c r="D20" s="118">
        <f>D16*2.5%</f>
      </c>
      <c r="E20" s="118">
        <f>E16*2.5%</f>
      </c>
      <c r="F20" s="118">
        <f>F16*2.5%</f>
      </c>
      <c r="G20" s="118">
        <f>G16*2.5%</f>
      </c>
      <c r="H20" s="118">
        <f>H16*2.5%</f>
      </c>
      <c r="I20" s="118">
        <f>I16*2.5%</f>
      </c>
      <c r="J20" s="118">
        <f>J16*2.5%</f>
      </c>
      <c r="K20" s="118">
        <f>K16*2.5%</f>
      </c>
      <c r="L20" s="118">
        <f>L16*2.5%</f>
      </c>
      <c r="M20" s="118">
        <f>M16*2.5%</f>
      </c>
      <c r="N20" s="118">
        <f>N16*2.5%</f>
      </c>
      <c r="O20" s="118">
        <f>SUM(C20:N20)</f>
      </c>
      <c r="P20" s="120">
        <v>0.025</v>
      </c>
      <c r="Q20" s="1"/>
      <c r="R20" s="54"/>
      <c r="S20" s="1"/>
      <c r="T20" s="1"/>
    </row>
    <row r="21">
      <c r="A21" s="1"/>
      <c r="B21" s="83" t="str">
        <v>成本合计（产品+物流）</v>
      </c>
      <c r="C21" s="115">
        <f>SUM(C18,C20)</f>
      </c>
      <c r="D21" s="115">
        <f>SUM(D18,D20)</f>
      </c>
      <c r="E21" s="115">
        <f>SUM(E18,E20)</f>
      </c>
      <c r="F21" s="115">
        <f>SUM(F18,F20)</f>
      </c>
      <c r="G21" s="115">
        <f>SUM(G18,G20)</f>
      </c>
      <c r="H21" s="115">
        <f>SUM(H18,H20)</f>
      </c>
      <c r="I21" s="115">
        <f>SUM(I18,I20)</f>
      </c>
      <c r="J21" s="115">
        <f>SUM(J18,J20)</f>
      </c>
      <c r="K21" s="115">
        <f>SUM(K18,K20)</f>
      </c>
      <c r="L21" s="115">
        <f>SUM(L18,L20)</f>
      </c>
      <c r="M21" s="115">
        <f>SUM(M18,M20)</f>
      </c>
      <c r="N21" s="115">
        <f>SUM(N18,N20)</f>
      </c>
      <c r="O21" s="115">
        <f>SUM(C21:N21)</f>
      </c>
      <c r="P21" s="116">
        <f>O21/$O$16</f>
      </c>
      <c r="Q21" s="1"/>
      <c r="R21" s="54"/>
      <c r="S21" s="1"/>
      <c r="T21" s="1"/>
    </row>
    <row r="22">
      <c r="A22" s="135"/>
      <c r="B22" s="98" t="str">
        <v>净毛利</v>
      </c>
      <c r="C22" s="98">
        <f>C16-C21</f>
      </c>
      <c r="D22" s="98">
        <f>D16-D21</f>
      </c>
      <c r="E22" s="98">
        <f>E16-E21</f>
      </c>
      <c r="F22" s="98">
        <f>F16-F21</f>
      </c>
      <c r="G22" s="98">
        <f>G16-G21</f>
      </c>
      <c r="H22" s="98">
        <f>H16-H21</f>
      </c>
      <c r="I22" s="98">
        <f>I16-I21</f>
      </c>
      <c r="J22" s="98">
        <f>J16-J21</f>
      </c>
      <c r="K22" s="98">
        <f>K16-K21</f>
      </c>
      <c r="L22" s="98">
        <f>L16-L21</f>
      </c>
      <c r="M22" s="98">
        <f>M16-M21</f>
      </c>
      <c r="N22" s="98">
        <f>N16-N21</f>
      </c>
      <c r="O22" s="98">
        <f>SUM(C22:N22)</f>
      </c>
      <c r="P22" s="162">
        <f>O22/$O$16</f>
      </c>
      <c r="Q22" s="1"/>
      <c r="R22" s="54"/>
      <c r="S22" s="1"/>
      <c r="T22" s="1"/>
    </row>
    <row r="23">
      <c r="A23" s="1"/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120"/>
      <c r="Q23" s="1"/>
      <c r="R23" s="54"/>
      <c r="S23" s="1"/>
      <c r="T23" s="1"/>
    </row>
    <row r="24">
      <c r="A24" s="1"/>
      <c r="B24" s="102" t="str">
        <v>合计毛利率</v>
      </c>
      <c r="C24" s="165">
        <f>IFERROR(1-C21/C16,0)</f>
      </c>
      <c r="D24" s="165">
        <f>IFERROR(1-D21/D16,0)</f>
      </c>
      <c r="E24" s="165">
        <f>IFERROR(1-E21/E16,0)</f>
      </c>
      <c r="F24" s="165">
        <f>IFERROR(1-F21/F16,0)</f>
      </c>
      <c r="G24" s="165">
        <f>IFERROR(1-G21/G16,0)</f>
      </c>
      <c r="H24" s="165">
        <f>IFERROR(1-H21/H16,0)</f>
      </c>
      <c r="I24" s="165">
        <f>IFERROR(1-I21/I16,0)</f>
      </c>
      <c r="J24" s="165">
        <f>IFERROR(1-J21/J16,0)</f>
      </c>
      <c r="K24" s="165">
        <f>IFERROR(1-K21/K16,0)</f>
      </c>
      <c r="L24" s="165">
        <f>IFERROR(1-L21/L16,0)</f>
      </c>
      <c r="M24" s="165">
        <f>IFERROR(1-M21/M16,0)</f>
      </c>
      <c r="N24" s="165">
        <f>IFERROR(1-N21/N16,0)</f>
      </c>
      <c r="O24" s="165">
        <f>IFERROR(1-O21/O16,0)</f>
      </c>
      <c r="P24" s="120"/>
      <c r="Q24" s="1"/>
      <c r="R24" s="54"/>
      <c r="S24" s="1"/>
      <c r="T24" s="1"/>
    </row>
    <row customHeight="true" ht="19" r="25">
      <c r="A25" s="1"/>
      <c r="B25" s="1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20"/>
      <c r="Q25" s="1"/>
      <c r="R25" s="54"/>
      <c r="S25" s="1"/>
      <c r="T25" s="1"/>
    </row>
    <row customHeight="true" ht="19" r="26">
      <c r="A26" s="1"/>
      <c r="B26" s="85" t="str">
        <v>品牌及内容费用</v>
      </c>
      <c r="C26" s="127">
        <f>SUM(C27:C31)</f>
      </c>
      <c r="D26" s="127">
        <f>SUM(D27:D31)</f>
      </c>
      <c r="E26" s="127">
        <f>SUM(E27:E31)</f>
      </c>
      <c r="F26" s="127">
        <f>SUM(F27:F31)</f>
      </c>
      <c r="G26" s="127">
        <f>SUM(G27:G31)</f>
      </c>
      <c r="H26" s="127">
        <f>SUM(H27:H31)</f>
      </c>
      <c r="I26" s="127">
        <f>SUM(I27:I31)</f>
      </c>
      <c r="J26" s="127">
        <f>SUM(J27:J31)</f>
      </c>
      <c r="K26" s="127">
        <f>SUM(K27:K31)</f>
      </c>
      <c r="L26" s="127">
        <f>SUM(L27:L31)</f>
      </c>
      <c r="M26" s="127">
        <f>SUM(M27:M31)</f>
      </c>
      <c r="N26" s="127">
        <f>SUM(N27:N31)</f>
      </c>
      <c r="O26" s="127">
        <f>SUM(C26:N26)</f>
      </c>
      <c r="P26" s="128">
        <f>O26/$O$16</f>
      </c>
      <c r="Q26" s="1"/>
      <c r="R26" s="54"/>
      <c r="S26" s="1"/>
      <c r="T26" s="1"/>
    </row>
    <row customHeight="true" ht="19" r="27">
      <c r="A27" s="118"/>
      <c r="B27" s="90" t="str">
        <v>展会</v>
      </c>
      <c r="C27" s="170">
        <v>0</v>
      </c>
      <c r="D27" s="170">
        <v>0</v>
      </c>
      <c r="E27" s="170">
        <v>19170.952097890062</v>
      </c>
      <c r="F27" s="170">
        <v>16014.68360131306</v>
      </c>
      <c r="G27" s="170">
        <v>34230.66409321589</v>
      </c>
      <c r="H27" s="170">
        <v>30026.535338565027</v>
      </c>
      <c r="I27" s="170">
        <v>19337.376109922334</v>
      </c>
      <c r="J27" s="170">
        <v>26681.936570721715</v>
      </c>
      <c r="K27" s="170">
        <v>21343.64693778743</v>
      </c>
      <c r="L27" s="170">
        <v>35937.992659089876</v>
      </c>
      <c r="M27" s="170">
        <v>27119.822859444284</v>
      </c>
      <c r="N27" s="170">
        <v>0</v>
      </c>
      <c r="O27" s="118">
        <f>SUM(C27:N27)</f>
      </c>
      <c r="P27" s="120">
        <f>O27/$O$16</f>
      </c>
      <c r="Q27" s="90"/>
      <c r="R27" s="54"/>
      <c r="S27" s="1"/>
      <c r="T27" s="1"/>
    </row>
    <row customHeight="true" ht="19" r="28">
      <c r="A28" s="118"/>
      <c r="B28" s="90" t="str">
        <v>品牌营销</v>
      </c>
      <c r="C28" s="170">
        <v>146616</v>
      </c>
      <c r="D28" s="170">
        <v>146616</v>
      </c>
      <c r="E28" s="170">
        <v>146616</v>
      </c>
      <c r="F28" s="170">
        <v>165833.62032157564</v>
      </c>
      <c r="G28" s="170">
        <v>351999.98455929576</v>
      </c>
      <c r="H28" s="170">
        <v>242700.9130834081</v>
      </c>
      <c r="I28" s="170">
        <v>146616</v>
      </c>
      <c r="J28" s="170">
        <v>178634.32388486605</v>
      </c>
      <c r="K28" s="170">
        <v>214915.6702009198</v>
      </c>
      <c r="L28" s="170">
        <v>189741.59119090784</v>
      </c>
      <c r="M28" s="170">
        <v>179159.78743133318</v>
      </c>
      <c r="N28" s="170">
        <v>146616</v>
      </c>
      <c r="O28" s="118">
        <f>SUM(C28:N28)</f>
      </c>
      <c r="P28" s="120">
        <f>O28/$O$16</f>
      </c>
      <c r="Q28" s="90" t="str">
        <v>注明：每个月增加146616品专费用</v>
      </c>
      <c r="R28" s="54"/>
      <c r="S28" s="1"/>
      <c r="T28" s="1"/>
    </row>
    <row customHeight="true" ht="19" r="29">
      <c r="A29" s="118"/>
      <c r="B29" s="90" t="str">
        <v>内容素材制作</v>
      </c>
      <c r="C29" s="170">
        <v>9440.655558799737</v>
      </c>
      <c r="D29" s="170">
        <v>7643.074034817796</v>
      </c>
      <c r="E29" s="170">
        <v>7668.380839156024</v>
      </c>
      <c r="F29" s="170">
        <v>32029.36720262612</v>
      </c>
      <c r="G29" s="170">
        <v>205383.98455929532</v>
      </c>
      <c r="H29" s="170">
        <v>132116.75548968613</v>
      </c>
      <c r="I29" s="170">
        <v>0</v>
      </c>
      <c r="J29" s="170">
        <v>32018.323884866055</v>
      </c>
      <c r="K29" s="170">
        <v>68299.67020091979</v>
      </c>
      <c r="L29" s="170">
        <v>71875.98531817975</v>
      </c>
      <c r="M29" s="170">
        <v>54239.64571888857</v>
      </c>
      <c r="N29" s="170">
        <v>9491.068872090687</v>
      </c>
      <c r="O29" s="118">
        <f>SUM(C29:N29)</f>
      </c>
      <c r="P29" s="120">
        <f>O29/$O$16</f>
      </c>
      <c r="Q29" s="1"/>
      <c r="R29" s="54"/>
      <c r="S29" s="1"/>
      <c r="T29" s="1"/>
    </row>
    <row customHeight="true" ht="19" r="30">
      <c r="A30" s="118"/>
      <c r="B30" s="90" t="str">
        <v>公关费用</v>
      </c>
      <c r="C30" s="170">
        <v>9440.655558799737</v>
      </c>
      <c r="D30" s="170">
        <v>7643.074034817796</v>
      </c>
      <c r="E30" s="170">
        <v>61347.04671324819</v>
      </c>
      <c r="F30" s="170">
        <v>6405.873440525223</v>
      </c>
      <c r="G30" s="170">
        <v>41076.79691185907</v>
      </c>
      <c r="H30" s="170">
        <v>12010.61413542601</v>
      </c>
      <c r="I30" s="170">
        <v>7734.950443968934</v>
      </c>
      <c r="J30" s="170">
        <v>10672.774628288686</v>
      </c>
      <c r="K30" s="170">
        <v>8537.458775114974</v>
      </c>
      <c r="L30" s="170">
        <v>28750.394127271902</v>
      </c>
      <c r="M30" s="170">
        <v>21695.85828755543</v>
      </c>
      <c r="N30" s="170">
        <v>9491.068872090687</v>
      </c>
      <c r="O30" s="118">
        <f>SUM(C30:N30)</f>
      </c>
      <c r="P30" s="120">
        <f>O30/$O$16</f>
      </c>
      <c r="Q30" s="1"/>
      <c r="R30" s="54"/>
      <c r="S30" s="1"/>
      <c r="T30" s="1"/>
    </row>
    <row collapsed="true" customHeight="true" ht="19" r="31">
      <c r="A31" s="118"/>
      <c r="B31" s="90" t="str">
        <v>达人种草、样机及加热</v>
      </c>
      <c r="C31" s="170">
        <v>173461.25032295263</v>
      </c>
      <c r="D31" s="170">
        <v>702163.7269429971</v>
      </c>
      <c r="E31" s="170">
        <v>1127181.8318360006</v>
      </c>
      <c r="F31" s="170">
        <v>588502.9961549462</v>
      </c>
      <c r="G31" s="170">
        <v>2264217.513460139</v>
      </c>
      <c r="H31" s="170">
        <v>1324087.8022303786</v>
      </c>
      <c r="I31" s="170">
        <v>284241.73868864536</v>
      </c>
      <c r="J31" s="170">
        <v>392200.0585462335</v>
      </c>
      <c r="K31" s="170">
        <v>156866.04224552246</v>
      </c>
      <c r="L31" s="170">
        <v>1320639.0386591707</v>
      </c>
      <c r="M31" s="170">
        <v>398636.58640538575</v>
      </c>
      <c r="N31" s="170">
        <v>348775.07461217383</v>
      </c>
      <c r="O31" s="118">
        <v>9080973.660104545</v>
      </c>
      <c r="P31" s="120">
        <f>O31/$O$16</f>
      </c>
      <c r="Q31" s="1"/>
      <c r="R31" s="54"/>
      <c r="S31" s="1"/>
      <c r="T31" s="1"/>
    </row>
    <row customHeight="true" hidden="true" ht="19" outlineLevel="1" r="32">
      <c r="A32" s="118"/>
      <c r="B32" s="90" t="str">
        <v>展会(费率)</v>
      </c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20"/>
      <c r="Q32" s="1"/>
      <c r="R32" s="54"/>
      <c r="S32" s="1"/>
      <c r="T32" s="1"/>
    </row>
    <row customHeight="true" hidden="true" ht="19" outlineLevel="1" r="33">
      <c r="A33" s="118"/>
      <c r="B33" s="90" t="str">
        <v>品牌营销（费率）</v>
      </c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20"/>
      <c r="Q33" s="1"/>
      <c r="R33" s="54"/>
      <c r="S33" s="1"/>
      <c r="T33" s="1"/>
    </row>
    <row customHeight="true" hidden="true" ht="19" outlineLevel="1" r="34">
      <c r="A34" s="118"/>
      <c r="B34" s="90" t="str">
        <v>内容素材制作（费率）</v>
      </c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20"/>
      <c r="Q34" s="1"/>
      <c r="R34" s="54"/>
      <c r="S34" s="1"/>
      <c r="T34" s="1"/>
    </row>
    <row customHeight="true" hidden="true" ht="19" outlineLevel="1" r="35">
      <c r="A35" s="118"/>
      <c r="B35" s="90" t="str">
        <v>公关费用（费率）</v>
      </c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20"/>
      <c r="Q35" s="1"/>
      <c r="R35" s="54"/>
      <c r="S35" s="1"/>
      <c r="T35" s="1"/>
    </row>
    <row hidden="true" outlineLevel="1" r="36">
      <c r="A36" s="118"/>
      <c r="B36" s="90" t="str">
        <v>达人种草、样机及加热（费率）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18"/>
      <c r="P36" s="120"/>
      <c r="Q36" s="1"/>
      <c r="R36" s="54"/>
      <c r="S36" s="1"/>
      <c r="T36" s="1"/>
    </row>
    <row r="37">
      <c r="A37" s="1"/>
      <c r="B37" s="85" t="str">
        <v>效果广告</v>
      </c>
      <c r="C37" s="127">
        <f>SUM(C38:C40)</f>
      </c>
      <c r="D37" s="127">
        <f>SUM(D38:D40)</f>
      </c>
      <c r="E37" s="127">
        <f>SUM(E38:E40)</f>
      </c>
      <c r="F37" s="127">
        <f>SUM(F38:F40)</f>
      </c>
      <c r="G37" s="127">
        <f>SUM(G38:G40)</f>
      </c>
      <c r="H37" s="127">
        <f>SUM(H38:H40)</f>
      </c>
      <c r="I37" s="127">
        <f>SUM(I38:I40)</f>
      </c>
      <c r="J37" s="127">
        <f>SUM(J38:J40)</f>
      </c>
      <c r="K37" s="127">
        <f>SUM(K38:K40)</f>
      </c>
      <c r="L37" s="127">
        <f>SUM(L38:L40)</f>
      </c>
      <c r="M37" s="127">
        <f>SUM(M38:M40)</f>
      </c>
      <c r="N37" s="127">
        <f>SUM(N38:N40)</f>
      </c>
      <c r="O37" s="127">
        <f>SUM(C37:N37)</f>
      </c>
      <c r="P37" s="128">
        <f>O37/$O$16</f>
      </c>
      <c r="Q37" s="1"/>
      <c r="R37" s="54"/>
      <c r="S37" s="1"/>
      <c r="T37" s="1"/>
    </row>
    <row r="38">
      <c r="A38" s="118"/>
      <c r="B38" s="90" t="str">
        <v>站内投放</v>
      </c>
      <c r="C38" s="172">
        <v>1070154.641902655</v>
      </c>
      <c r="D38" s="172">
        <v>1055721.157362832</v>
      </c>
      <c r="E38" s="172">
        <v>1041065.7023893805</v>
      </c>
      <c r="F38" s="172">
        <v>844021.3045203539</v>
      </c>
      <c r="G38" s="172">
        <v>2512990.986990996</v>
      </c>
      <c r="H38" s="172">
        <v>2204507.2874690266</v>
      </c>
      <c r="I38" s="172">
        <v>1128735.0004309732</v>
      </c>
      <c r="J38" s="172">
        <v>2179331.706380531</v>
      </c>
      <c r="K38" s="172">
        <v>1311854.0619292036</v>
      </c>
      <c r="L38" s="172">
        <v>3148103.024283186</v>
      </c>
      <c r="M38" s="172">
        <v>2279157.731769912</v>
      </c>
      <c r="N38" s="172">
        <v>1416107.092920354</v>
      </c>
      <c r="O38" s="118">
        <f>SUM(C38:N38)</f>
      </c>
      <c r="P38" s="120">
        <f>O38/$O$16</f>
      </c>
      <c r="Q38" s="1" t="str">
        <v>投放填写</v>
      </c>
      <c r="R38" s="54"/>
      <c r="S38" s="1"/>
      <c r="T38" s="1"/>
    </row>
    <row r="39">
      <c r="A39" s="118"/>
      <c r="B39" s="90" t="str">
        <v>千川投放</v>
      </c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18">
        <f>SUM(C39:N39)</f>
      </c>
      <c r="P39" s="120">
        <f>O39/$O$16</f>
      </c>
      <c r="Q39" s="1" t="str">
        <v>投放填写</v>
      </c>
      <c r="R39" s="54"/>
      <c r="S39" s="1"/>
      <c r="T39" s="1"/>
    </row>
    <row collapsed="true" r="40">
      <c r="A40" s="118"/>
      <c r="B40" s="90" t="str">
        <v>站外投放</v>
      </c>
      <c r="C40" s="172">
        <v>458637.7036725667</v>
      </c>
      <c r="D40" s="172">
        <v>452451.9245840709</v>
      </c>
      <c r="E40" s="172">
        <v>446171.0153097346</v>
      </c>
      <c r="F40" s="172">
        <v>361723.4162230091</v>
      </c>
      <c r="G40" s="172">
        <v>1543694.4634373258</v>
      </c>
      <c r="H40" s="172">
        <v>944788.8374867258</v>
      </c>
      <c r="I40" s="172">
        <v>483743.57161327475</v>
      </c>
      <c r="J40" s="172">
        <v>933999.3027345133</v>
      </c>
      <c r="K40" s="172">
        <v>562223.1693982303</v>
      </c>
      <c r="L40" s="172">
        <v>1349187.0104070795</v>
      </c>
      <c r="M40" s="172">
        <v>976781.8850442478</v>
      </c>
      <c r="N40" s="172">
        <v>606903.0398230092</v>
      </c>
      <c r="O40" s="118">
        <f>SUM(C40:N40)</f>
      </c>
      <c r="P40" s="120">
        <f>O40/$O$16</f>
      </c>
      <c r="Q40" s="1" t="str">
        <v>投放填写</v>
      </c>
      <c r="R40" s="54"/>
      <c r="S40" s="1"/>
      <c r="T40" s="1"/>
    </row>
    <row hidden="true" outlineLevel="1" r="41">
      <c r="A41" s="118"/>
      <c r="B41" s="90" t="str">
        <v>站内投放（费率）</v>
      </c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20">
        <f>O38/$O$16</f>
      </c>
      <c r="P41" s="1"/>
      <c r="Q41" s="1" t="str">
        <v>投放填写</v>
      </c>
      <c r="R41" s="54"/>
      <c r="S41" s="1"/>
      <c r="T41" s="1"/>
    </row>
    <row hidden="true" outlineLevel="1" r="42">
      <c r="A42" s="118"/>
      <c r="B42" s="90" t="str">
        <v>千川投放（费率）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20">
        <f>O39/$O$16</f>
      </c>
      <c r="P42" s="1"/>
      <c r="Q42" s="1" t="str">
        <v>投放填写</v>
      </c>
      <c r="R42" s="54"/>
      <c r="S42" s="1"/>
      <c r="T42" s="1"/>
    </row>
    <row hidden="true" outlineLevel="1" r="43">
      <c r="A43" s="118"/>
      <c r="B43" s="90" t="str">
        <v>站外投放（费率）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20">
        <f>O40/$O$16</f>
      </c>
      <c r="P43" s="1"/>
      <c r="Q43" s="1" t="str">
        <v>投放填写</v>
      </c>
      <c r="R43" s="54"/>
      <c r="S43" s="1"/>
      <c r="T43" s="1"/>
    </row>
    <row r="44">
      <c r="A44" s="1"/>
      <c r="B44" s="85" t="str">
        <v>线上营销费用</v>
      </c>
      <c r="C44" s="127">
        <f>SUM(C45:C46)</f>
      </c>
      <c r="D44" s="127">
        <f>SUM(D45:D46)</f>
      </c>
      <c r="E44" s="127">
        <f>SUM(E45:E46)</f>
      </c>
      <c r="F44" s="127">
        <f>SUM(F45:F46)</f>
      </c>
      <c r="G44" s="127">
        <f>SUM(G45:G46)</f>
      </c>
      <c r="H44" s="127">
        <f>SUM(H45:H46)</f>
      </c>
      <c r="I44" s="127">
        <f>SUM(I45:I46)</f>
      </c>
      <c r="J44" s="127">
        <f>SUM(J45:J46)</f>
      </c>
      <c r="K44" s="127">
        <f>SUM(K45:K46)</f>
      </c>
      <c r="L44" s="127">
        <f>SUM(L45:L46)</f>
      </c>
      <c r="M44" s="127">
        <f>SUM(M45:M46)</f>
      </c>
      <c r="N44" s="127">
        <f>SUM(N45:N46)</f>
      </c>
      <c r="O44" s="127">
        <f>SUM(C44:N44)</f>
      </c>
      <c r="P44" s="128">
        <f>O44/$O$16</f>
      </c>
      <c r="Q44" s="1"/>
      <c r="R44" s="54"/>
      <c r="S44" s="1"/>
      <c r="T44" s="1"/>
    </row>
    <row r="45">
      <c r="A45" s="118"/>
      <c r="B45" s="90" t="str">
        <v>直播费用</v>
      </c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18">
        <f>SUM(C45:N45)</f>
      </c>
      <c r="P45" s="120">
        <v>0.01</v>
      </c>
      <c r="Q45" s="1" t="str">
        <v>达人填写</v>
      </c>
      <c r="R45" s="54"/>
      <c r="S45" s="1"/>
      <c r="T45" s="1"/>
    </row>
    <row r="46">
      <c r="A46" s="118"/>
      <c r="B46" s="90" t="str">
        <v>赠品费用</v>
      </c>
      <c r="C46" s="170">
        <f>C16*$P$46</f>
      </c>
      <c r="D46" s="170">
        <f>D16*$P$46</f>
      </c>
      <c r="E46" s="170">
        <f>E16*$P$46</f>
      </c>
      <c r="F46" s="170">
        <f>F16*$P$46</f>
      </c>
      <c r="G46" s="170">
        <f>G16*$P$46</f>
      </c>
      <c r="H46" s="170">
        <f>H16*$P$46</f>
      </c>
      <c r="I46" s="170">
        <f>I16*$P$46</f>
      </c>
      <c r="J46" s="170">
        <f>J16*$P$46</f>
      </c>
      <c r="K46" s="170">
        <f>K16*$P$46</f>
      </c>
      <c r="L46" s="170">
        <f>L16*$P$46</f>
      </c>
      <c r="M46" s="170">
        <f>M16*$P$46</f>
      </c>
      <c r="N46" s="170">
        <f>N16*$P$46</f>
      </c>
      <c r="O46" s="118">
        <f>SUM(C46:N46)</f>
      </c>
      <c r="P46" s="120">
        <v>0.02</v>
      </c>
      <c r="Q46" s="90" t="str">
        <v>渠道填写</v>
      </c>
      <c r="R46" s="54"/>
      <c r="S46" s="1"/>
      <c r="T46" s="1"/>
    </row>
    <row r="47">
      <c r="A47" s="1"/>
      <c r="B47" s="85" t="str">
        <v>线下市场费用</v>
      </c>
      <c r="C47" s="127">
        <f>SUM(C48:C51)</f>
      </c>
      <c r="D47" s="127">
        <f>SUM(D48:D51)</f>
      </c>
      <c r="E47" s="127">
        <f>SUM(E48:E51)</f>
      </c>
      <c r="F47" s="127">
        <f>SUM(F48:F51)</f>
      </c>
      <c r="G47" s="127">
        <f>SUM(G48:G51)</f>
      </c>
      <c r="H47" s="127">
        <f>SUM(H48:H51)</f>
      </c>
      <c r="I47" s="127">
        <f>SUM(I48:I51)</f>
      </c>
      <c r="J47" s="127">
        <f>SUM(J48:J51)</f>
      </c>
      <c r="K47" s="127">
        <f>SUM(K48:K51)</f>
      </c>
      <c r="L47" s="127">
        <f>SUM(L48:L51)</f>
      </c>
      <c r="M47" s="127">
        <f>SUM(M48:M51)</f>
      </c>
      <c r="N47" s="127">
        <f>SUM(N48:N51)</f>
      </c>
      <c r="O47" s="127">
        <f>SUM(C47:N47)</f>
      </c>
      <c r="P47" s="128">
        <f>O47/$O$16</f>
      </c>
      <c r="Q47" s="1"/>
      <c r="R47" s="54"/>
      <c r="S47" s="1"/>
      <c r="T47" s="1"/>
    </row>
    <row r="48">
      <c r="A48" s="118"/>
      <c r="B48" s="90" t="str">
        <v>线下渠道展陈、促销费用</v>
      </c>
      <c r="C48" s="177"/>
      <c r="D48" s="177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18"/>
      <c r="P48" s="120">
        <f>O48/$O$16</f>
      </c>
      <c r="Q48" s="90" t="str">
        <v>线下门店</v>
      </c>
      <c r="R48" s="54"/>
      <c r="S48" s="1"/>
      <c r="T48" s="1"/>
    </row>
    <row r="49">
      <c r="A49" s="118"/>
      <c r="B49" s="90" t="str">
        <v>租金+物业+水电</v>
      </c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18"/>
      <c r="P49" s="120">
        <f>O49/$O$16</f>
      </c>
      <c r="Q49" s="90" t="str">
        <v>线下门店</v>
      </c>
      <c r="R49" s="54"/>
      <c r="S49" s="1"/>
      <c r="T49" s="1"/>
    </row>
    <row r="50">
      <c r="A50" s="118"/>
      <c r="B50" s="90" t="str">
        <v>门店人工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18">
        <f>SUM(C50:N50)</f>
      </c>
      <c r="P50" s="120">
        <f>O50/$O$16</f>
      </c>
      <c r="Q50" s="90" t="str">
        <v>线下门店</v>
      </c>
      <c r="R50" s="54"/>
      <c r="S50" s="1"/>
      <c r="T50" s="1"/>
    </row>
    <row r="51">
      <c r="A51" s="1"/>
      <c r="B51" s="90" t="str">
        <v>门店展陈装修等其他</v>
      </c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18">
        <f>SUM(C51:N51)</f>
      </c>
      <c r="P51" s="120">
        <f>O51/$O$16</f>
      </c>
      <c r="Q51" s="90" t="str">
        <v>线下门店</v>
      </c>
      <c r="R51" s="54"/>
      <c r="S51" s="1"/>
      <c r="T51" s="1"/>
    </row>
    <row r="52">
      <c r="A52" s="1"/>
      <c r="B52" s="83" t="str">
        <v>市场投入费用</v>
      </c>
      <c r="C52" s="115">
        <f>SUM(C26,C37,C44,C47)</f>
      </c>
      <c r="D52" s="115">
        <f>SUM(D26,D37,D44,D47)</f>
      </c>
      <c r="E52" s="115">
        <f>SUM(E26,E37,E44,E47)</f>
      </c>
      <c r="F52" s="115">
        <f>SUM(F26,F37,F44,F47)</f>
      </c>
      <c r="G52" s="115">
        <f>SUM(G26,G37,G44,G47)</f>
      </c>
      <c r="H52" s="115">
        <f>SUM(H26,H37,H44,H47)</f>
      </c>
      <c r="I52" s="115">
        <f>SUM(I26,I37,I44,I47)</f>
      </c>
      <c r="J52" s="115">
        <f>SUM(J26,J37,J44,J47)</f>
      </c>
      <c r="K52" s="115">
        <f>SUM(K26,K37,K44,K47)</f>
      </c>
      <c r="L52" s="115">
        <f>SUM(L26,L37,L44,L47)</f>
      </c>
      <c r="M52" s="115">
        <f>SUM(M26,M37,M44,M47)</f>
      </c>
      <c r="N52" s="115">
        <f>SUM(N26,N37,N44,N47)</f>
      </c>
      <c r="O52" s="115">
        <f>SUM(C52:N52)</f>
      </c>
      <c r="P52" s="116">
        <f>O52/$O$16</f>
      </c>
      <c r="Q52" s="1"/>
      <c r="R52" s="54"/>
      <c r="S52" s="1"/>
      <c r="T52" s="1"/>
    </row>
    <row r="53">
      <c r="A53" s="118"/>
      <c r="B53" s="90" t="str">
        <v>平台佣金</v>
      </c>
      <c r="C53" s="170">
        <f>C16*$P$53</f>
      </c>
      <c r="D53" s="170">
        <f>D16*$P$53</f>
      </c>
      <c r="E53" s="170">
        <f>E16*$P$53</f>
      </c>
      <c r="F53" s="170">
        <f>F16*$P$53</f>
      </c>
      <c r="G53" s="170">
        <f>G16*$P$53</f>
      </c>
      <c r="H53" s="170">
        <f>H16*$P$53</f>
      </c>
      <c r="I53" s="170">
        <f>I16*$P$53</f>
      </c>
      <c r="J53" s="170">
        <f>J16*$P$53</f>
      </c>
      <c r="K53" s="170">
        <f>K16*$P$53</f>
      </c>
      <c r="L53" s="170">
        <f>L16*$P$53</f>
      </c>
      <c r="M53" s="170">
        <f>M16*$P$53</f>
      </c>
      <c r="N53" s="170">
        <f>N16*$P$53</f>
      </c>
      <c r="O53" s="118">
        <f>SUM(C53:N53)</f>
      </c>
      <c r="P53" s="120">
        <v>0.03</v>
      </c>
      <c r="Q53" s="54">
        <f>O53/O16</f>
      </c>
      <c r="R53" s="54"/>
      <c r="S53" s="1"/>
      <c r="T53" s="1"/>
    </row>
    <row r="54">
      <c r="A54" s="118"/>
      <c r="B54" s="90" t="str">
        <v>平台其他费用</v>
      </c>
      <c r="C54" s="170">
        <f>C16*$P$54</f>
      </c>
      <c r="D54" s="170">
        <f>D16*$P$54</f>
      </c>
      <c r="E54" s="170">
        <f>E16*$P$54</f>
      </c>
      <c r="F54" s="170">
        <f>F16*$P$54</f>
      </c>
      <c r="G54" s="170">
        <f>G16*$P$54</f>
      </c>
      <c r="H54" s="170">
        <f>H16*$P$54</f>
      </c>
      <c r="I54" s="170">
        <f>I16*$P$54</f>
      </c>
      <c r="J54" s="170">
        <f>J16*$P$54</f>
      </c>
      <c r="K54" s="170">
        <f>K16*$P$54</f>
      </c>
      <c r="L54" s="170">
        <f>L16*$P$54</f>
      </c>
      <c r="M54" s="170">
        <f>M16*$P$54</f>
      </c>
      <c r="N54" s="170">
        <f>N16*$P$54</f>
      </c>
      <c r="O54" s="118">
        <f>SUM(C54:N54)</f>
      </c>
      <c r="P54" s="120">
        <v>0.014</v>
      </c>
      <c r="Q54" s="54">
        <f>O54/O16</f>
      </c>
      <c r="R54" s="54"/>
      <c r="S54" s="1"/>
      <c r="T54" s="1"/>
    </row>
    <row r="55">
      <c r="A55" s="118"/>
      <c r="B55" s="90" t="str">
        <v>售后费用</v>
      </c>
      <c r="C55" s="170">
        <v>605664.058286109</v>
      </c>
      <c r="D55" s="170">
        <v>396050.55991521454</v>
      </c>
      <c r="E55" s="170">
        <v>308916.35258065735</v>
      </c>
      <c r="F55" s="170">
        <v>475404.73280934896</v>
      </c>
      <c r="G55" s="170">
        <v>408276.2464269249</v>
      </c>
      <c r="H55" s="170">
        <v>286025.68719928444</v>
      </c>
      <c r="I55" s="170">
        <v>398513.00975044543</v>
      </c>
      <c r="J55" s="170">
        <v>308310.70056088746</v>
      </c>
      <c r="K55" s="170">
        <v>424832.6458428959</v>
      </c>
      <c r="L55" s="170">
        <v>335331.72354040697</v>
      </c>
      <c r="M55" s="170">
        <v>293711.41992910416</v>
      </c>
      <c r="N55" s="170">
        <v>286567.42043040844</v>
      </c>
      <c r="O55" s="118">
        <f>SUM(C55:N55)</f>
      </c>
      <c r="P55" s="120">
        <v>0.03</v>
      </c>
      <c r="Q55" s="1"/>
      <c r="R55" s="54"/>
      <c r="S55" s="1"/>
      <c r="T55" s="1"/>
    </row>
    <row r="56">
      <c r="A56" s="118"/>
      <c r="B56" s="90" t="str">
        <v>短信及店铺软件</v>
      </c>
      <c r="C56" s="170">
        <f>C16*$P$56</f>
      </c>
      <c r="D56" s="170">
        <f>D16*$P$56</f>
      </c>
      <c r="E56" s="170">
        <f>E16*$P$56</f>
      </c>
      <c r="F56" s="170">
        <f>F16*$P$56</f>
      </c>
      <c r="G56" s="170">
        <f>G16*$P$56</f>
      </c>
      <c r="H56" s="170">
        <f>H16*$P$56</f>
      </c>
      <c r="I56" s="170">
        <f>I16*$P$56</f>
      </c>
      <c r="J56" s="170">
        <f>J16*$P$56</f>
      </c>
      <c r="K56" s="170">
        <f>K16*$P$56</f>
      </c>
      <c r="L56" s="170">
        <f>L16*$P$56</f>
      </c>
      <c r="M56" s="170">
        <f>M16*$P$56</f>
      </c>
      <c r="N56" s="170">
        <f>N16*$P$56</f>
      </c>
      <c r="O56" s="118">
        <f>SUM(C56:N56)</f>
      </c>
      <c r="P56" s="120">
        <v>0.001</v>
      </c>
      <c r="Q56" s="1"/>
      <c r="R56" s="54"/>
      <c r="S56" s="1"/>
      <c r="T56" s="1"/>
    </row>
    <row r="57">
      <c r="A57" s="118"/>
      <c r="B57" s="90" t="str">
        <v>其他运营费用（咨询调研等）</v>
      </c>
      <c r="C57" s="170">
        <v>71662.14459464407</v>
      </c>
      <c r="D57" s="170"/>
      <c r="E57" s="170"/>
      <c r="F57" s="170"/>
      <c r="G57" s="170">
        <v>28664.857837857628</v>
      </c>
      <c r="H57" s="170"/>
      <c r="I57" s="170"/>
      <c r="J57" s="170"/>
      <c r="K57" s="170"/>
      <c r="L57" s="170">
        <v>28664.857837857628</v>
      </c>
      <c r="M57" s="170"/>
      <c r="N57" s="170">
        <v>85994.57351357288</v>
      </c>
      <c r="O57" s="118">
        <f>SUM(C57:N57)</f>
      </c>
      <c r="P57" s="120">
        <f>O57/$O$16</f>
      </c>
      <c r="Q57" s="90"/>
      <c r="R57" s="54"/>
      <c r="S57" s="1"/>
      <c r="T57" s="1"/>
    </row>
    <row r="58">
      <c r="A58" s="1"/>
      <c r="B58" s="83" t="str">
        <v>店铺运营费用</v>
      </c>
      <c r="C58" s="115">
        <f>SUM(C53:C57)</f>
      </c>
      <c r="D58" s="115">
        <f>SUM(D53:D57)</f>
      </c>
      <c r="E58" s="115">
        <f>SUM(E53:E57)</f>
      </c>
      <c r="F58" s="115">
        <f>SUM(F53:F57)</f>
      </c>
      <c r="G58" s="115">
        <f>SUM(G53:G57)</f>
      </c>
      <c r="H58" s="115">
        <f>SUM(H53:H57)</f>
      </c>
      <c r="I58" s="115">
        <f>SUM(I53:I57)</f>
      </c>
      <c r="J58" s="115">
        <f>SUM(J53:J57)</f>
      </c>
      <c r="K58" s="115">
        <f>SUM(K53:K57)</f>
      </c>
      <c r="L58" s="115">
        <f>SUM(L53:L57)</f>
      </c>
      <c r="M58" s="115">
        <f>SUM(M53:M57)</f>
      </c>
      <c r="N58" s="115">
        <f>SUM(N53:N57)</f>
      </c>
      <c r="O58" s="115">
        <f>SUM(C58:N58)</f>
      </c>
      <c r="P58" s="116">
        <f>O58/$O$16</f>
      </c>
      <c r="Q58" s="1"/>
      <c r="R58" s="54"/>
      <c r="S58" s="1"/>
      <c r="T58" s="1"/>
    </row>
    <row r="59">
      <c r="A59" s="135"/>
      <c r="B59" s="98" t="str">
        <v>A&amp;P 合计数</v>
      </c>
      <c r="C59" s="98">
        <f>SUM(C52,C58)</f>
      </c>
      <c r="D59" s="98">
        <f>SUM(D52,D58)</f>
      </c>
      <c r="E59" s="98">
        <f>SUM(E52,E58)</f>
      </c>
      <c r="F59" s="98">
        <f>SUM(F52,F58)</f>
      </c>
      <c r="G59" s="98">
        <f>SUM(G52,G58)</f>
      </c>
      <c r="H59" s="98">
        <f>SUM(H52,H58)</f>
      </c>
      <c r="I59" s="98">
        <f>SUM(I52,I58)</f>
      </c>
      <c r="J59" s="98">
        <f>SUM(J52,J58)</f>
      </c>
      <c r="K59" s="98">
        <f>SUM(K52,K58)</f>
      </c>
      <c r="L59" s="98">
        <f>SUM(L52,L58)</f>
      </c>
      <c r="M59" s="98">
        <f>SUM(M52,M58)</f>
      </c>
      <c r="N59" s="98">
        <f>SUM(N52,N58)</f>
      </c>
      <c r="O59" s="98">
        <f>SUM(C59:N59)</f>
      </c>
      <c r="P59" s="162">
        <f>O59/$O$16</f>
      </c>
      <c r="Q59" s="135"/>
      <c r="R59" s="175"/>
      <c r="S59" s="1"/>
      <c r="T59" s="1"/>
    </row>
    <row r="60">
      <c r="A60" s="135"/>
      <c r="B60" s="98" t="str">
        <v>店铺利润</v>
      </c>
      <c r="C60" s="98">
        <f>C22-C59</f>
      </c>
      <c r="D60" s="98">
        <f>D22-D59</f>
      </c>
      <c r="E60" s="98">
        <f>E22-E59</f>
      </c>
      <c r="F60" s="98">
        <f>F22-F59</f>
      </c>
      <c r="G60" s="98">
        <f>G22-G59</f>
      </c>
      <c r="H60" s="98">
        <f>H22-H59</f>
      </c>
      <c r="I60" s="98">
        <f>I22-I59</f>
      </c>
      <c r="J60" s="98">
        <f>J22-J59</f>
      </c>
      <c r="K60" s="98">
        <f>K22-K59</f>
      </c>
      <c r="L60" s="98">
        <f>L22-L59</f>
      </c>
      <c r="M60" s="98">
        <f>M22-M59</f>
      </c>
      <c r="N60" s="98">
        <f>N22-N59</f>
      </c>
      <c r="O60" s="98">
        <f>SUM(C60:N60)</f>
      </c>
      <c r="P60" s="162">
        <f>O60/$O$16</f>
      </c>
      <c r="Q60" s="135"/>
      <c r="R60" s="175"/>
      <c r="S60" s="1"/>
      <c r="T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54"/>
      <c r="S61" s="1"/>
      <c r="T61" s="1"/>
    </row>
    <row r="62">
      <c r="A62" s="1"/>
      <c r="B62" s="179" t="str">
        <v>辅助计算</v>
      </c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58"/>
      <c r="P62" s="1"/>
      <c r="Q62" s="1"/>
      <c r="R62" s="54"/>
      <c r="S62" s="1"/>
      <c r="T62" s="1"/>
    </row>
    <row r="63">
      <c r="A63" s="1"/>
      <c r="B63" s="181" t="str">
        <v>国补后价格(销量加权)</v>
      </c>
      <c r="C63" s="181">
        <v>366.6</v>
      </c>
      <c r="D63" s="181">
        <v>362.6</v>
      </c>
      <c r="E63" s="181">
        <v>362.8</v>
      </c>
      <c r="F63" s="181">
        <v>357</v>
      </c>
      <c r="G63" s="181">
        <v>376.4</v>
      </c>
      <c r="H63" s="181">
        <v>376.1</v>
      </c>
      <c r="I63" s="181">
        <v>401.9</v>
      </c>
      <c r="J63" s="181">
        <v>400.9</v>
      </c>
      <c r="K63" s="181">
        <v>401.8</v>
      </c>
      <c r="L63" s="181">
        <v>398.6</v>
      </c>
      <c r="M63" s="181">
        <v>397.7</v>
      </c>
      <c r="N63" s="181">
        <v>392.4</v>
      </c>
      <c r="O63" s="1"/>
      <c r="P63" s="1"/>
      <c r="Q63" s="1"/>
      <c r="R63" s="54"/>
      <c r="S63" s="1"/>
      <c r="T63" s="1"/>
    </row>
    <row r="64">
      <c r="A64" s="1"/>
      <c r="B64" s="181" t="str">
        <v>成本不含税（销量加权）</v>
      </c>
      <c r="C64" s="181">
        <v>158.8</v>
      </c>
      <c r="D64" s="181">
        <v>156.4</v>
      </c>
      <c r="E64" s="181">
        <v>165.1</v>
      </c>
      <c r="F64" s="181">
        <v>162.9</v>
      </c>
      <c r="G64" s="181">
        <v>153</v>
      </c>
      <c r="H64" s="181">
        <v>155.3</v>
      </c>
      <c r="I64" s="181">
        <v>153.3</v>
      </c>
      <c r="J64" s="181">
        <v>152.5</v>
      </c>
      <c r="K64" s="181">
        <v>150.2</v>
      </c>
      <c r="L64" s="181">
        <v>146.6</v>
      </c>
      <c r="M64" s="181">
        <v>142.9</v>
      </c>
      <c r="N64" s="181">
        <v>139.6</v>
      </c>
      <c r="O64" s="1"/>
      <c r="P64" s="1"/>
      <c r="Q64" s="1"/>
      <c r="R64" s="54"/>
      <c r="S64" s="1"/>
      <c r="T64" s="1"/>
    </row>
    <row r="65">
      <c r="A65" s="1"/>
      <c r="B65" s="179" t="str">
        <v>退后销量</v>
      </c>
      <c r="C65" s="178">
        <f>C8/C63</f>
      </c>
      <c r="D65" s="178">
        <f>D8/D63</f>
      </c>
      <c r="E65" s="178">
        <f>E8/E63</f>
      </c>
      <c r="F65" s="178">
        <f>F8/F63</f>
      </c>
      <c r="G65" s="178">
        <f>G8/G63</f>
      </c>
      <c r="H65" s="178">
        <f>H8/H63</f>
      </c>
      <c r="I65" s="178">
        <f>I8/I63</f>
      </c>
      <c r="J65" s="178">
        <f>J8/J63</f>
      </c>
      <c r="K65" s="178">
        <f>K8/K63</f>
      </c>
      <c r="L65" s="178">
        <f>L8/L63</f>
      </c>
      <c r="M65" s="178">
        <f>M8/M63</f>
      </c>
      <c r="N65" s="178">
        <f>N8/N63</f>
      </c>
      <c r="O65" s="1"/>
      <c r="P65" s="1"/>
      <c r="Q65" s="1"/>
      <c r="R65" s="54"/>
      <c r="S65" s="1"/>
      <c r="T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54"/>
      <c r="S66" s="1"/>
      <c r="T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54"/>
      <c r="S67" s="1"/>
      <c r="T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54"/>
      <c r="S68" s="1"/>
      <c r="T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54"/>
      <c r="S69" s="1"/>
      <c r="T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54"/>
      <c r="S70" s="1"/>
      <c r="T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54"/>
      <c r="S71" s="1"/>
      <c r="T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54"/>
      <c r="S72" s="1"/>
      <c r="T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54"/>
      <c r="S73" s="1"/>
      <c r="T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54"/>
      <c r="S74" s="1"/>
      <c r="T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54"/>
      <c r="S75" s="1"/>
      <c r="T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54"/>
      <c r="S76" s="1"/>
      <c r="T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54"/>
      <c r="S77" s="1"/>
      <c r="T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54"/>
      <c r="S78" s="1"/>
      <c r="T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54"/>
      <c r="S79" s="1"/>
      <c r="T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54"/>
      <c r="S80" s="1"/>
      <c r="T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54"/>
      <c r="S81" s="1"/>
      <c r="T81" s="1"/>
    </row>
    <row r="82">
      <c r="A82" s="1"/>
      <c r="B82" s="1"/>
      <c r="C82" s="158">
        <f>C16-C18-C20-C26-C37-C44-C47-C58-C60</f>
      </c>
      <c r="D82" s="158">
        <f>D16-D18-D20-D26-D37-D44-D47-D58-D60</f>
      </c>
      <c r="E82" s="158">
        <f>E16-E18-E20-E26-E37-E44-E47-E58-E60</f>
      </c>
      <c r="F82" s="158">
        <f>F16-F18-F20-F26-F37-F44-F47-F58-F60</f>
      </c>
      <c r="G82" s="158">
        <f>G16-G18-G20-G26-G37-G44-G47-G58-G60</f>
      </c>
      <c r="H82" s="158">
        <f>H16-H18-H20-H26-H37-H44-H47-H58-H60</f>
      </c>
      <c r="I82" s="158">
        <f>I16-I18-I20-I26-I37-I44-I47-I58-I60</f>
      </c>
      <c r="J82" s="158">
        <f>J16-J18-J20-J26-J37-J44-J47-J58-J60</f>
      </c>
      <c r="K82" s="158">
        <f>K16-K18-K20-K26-K37-K44-K47-K58-K60</f>
      </c>
      <c r="L82" s="158">
        <f>L16-L18-L20-L26-L37-L44-L47-L58-L60</f>
      </c>
      <c r="M82" s="158">
        <f>M16-M18-M20-M26-M37-M44-M47-M58-M60</f>
      </c>
      <c r="N82" s="158">
        <f>N16-N18-N20-N26-N37-N44-N47-N58-N60</f>
      </c>
      <c r="O82" s="158">
        <f>O16-O18-O20-O26-O37-O44-O47-O58-O60</f>
      </c>
      <c r="P82" s="1"/>
      <c r="Q82" s="1"/>
      <c r="R82" s="54"/>
      <c r="S82" s="1"/>
      <c r="T82" s="1"/>
    </row>
    <row r="83">
      <c r="A83" s="1"/>
      <c r="B83" s="1"/>
      <c r="C83" s="119">
        <f>C10-C11-C12-C13-C15</f>
      </c>
      <c r="D83" s="119">
        <f>D10-D11-D12-D13-D15</f>
      </c>
      <c r="E83" s="119">
        <f>E10-E11-E12-E13-E15</f>
      </c>
      <c r="F83" s="119">
        <f>F10-F11-F12-F13-F15</f>
      </c>
      <c r="G83" s="119">
        <f>G10-G11-G12-G13-G15</f>
      </c>
      <c r="H83" s="119">
        <f>H10-H11-H12-H13-H15</f>
      </c>
      <c r="I83" s="119">
        <f>I10-I11-I12-I13-I15</f>
      </c>
      <c r="J83" s="119">
        <f>J10-J11-J12-J13-J15</f>
      </c>
      <c r="K83" s="119">
        <f>K10-K11-K12-K13-K15</f>
      </c>
      <c r="L83" s="119">
        <f>L10-L11-L12-L13-L15</f>
      </c>
      <c r="M83" s="119">
        <f>M10-M11-M12-M13-M15</f>
      </c>
      <c r="N83" s="119">
        <f>N10-N11-N12-N13-N15</f>
      </c>
      <c r="O83" s="119">
        <f>O10-O11-O12-O13-O15</f>
      </c>
      <c r="P83" s="1"/>
      <c r="Q83" s="1"/>
      <c r="R83" s="54"/>
      <c r="S83" s="1"/>
      <c r="T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54"/>
      <c r="S84" s="1"/>
      <c r="T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54"/>
      <c r="S85" s="1"/>
      <c r="T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54"/>
      <c r="S86" s="1"/>
      <c r="T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54"/>
      <c r="S87" s="1"/>
      <c r="T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54"/>
      <c r="S88" s="1"/>
      <c r="T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54"/>
      <c r="S89" s="1"/>
      <c r="T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54"/>
      <c r="S90" s="1"/>
      <c r="T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54"/>
      <c r="S91" s="1"/>
      <c r="T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54"/>
      <c r="S92" s="1"/>
      <c r="T92" s="1"/>
    </row>
    <row r="93">
      <c r="A93" s="1"/>
      <c r="B93" s="1" t="str">
        <v>分摊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54"/>
      <c r="S93" s="1"/>
      <c r="T93" s="1"/>
    </row>
    <row r="94">
      <c r="A94" s="1"/>
      <c r="B94" s="85" t="str">
        <v>品牌及内容费用</v>
      </c>
      <c r="C94" s="127">
        <f>SUM(C95:C99)</f>
      </c>
      <c r="D94" s="127">
        <f>SUM(D95:D99)</f>
      </c>
      <c r="E94" s="127">
        <f>SUM(E95:E99)</f>
      </c>
      <c r="F94" s="127">
        <f>SUM(F95:F99)</f>
      </c>
      <c r="G94" s="127">
        <f>SUM(G95:G99)</f>
      </c>
      <c r="H94" s="127">
        <f>SUM(H95:H99)</f>
      </c>
      <c r="I94" s="127">
        <f>SUM(I95:I99)</f>
      </c>
      <c r="J94" s="127">
        <f>SUM(J95:J99)</f>
      </c>
      <c r="K94" s="127">
        <f>SUM(K95:K99)</f>
      </c>
      <c r="L94" s="127">
        <f>SUM(L95:L99)</f>
      </c>
      <c r="M94" s="127">
        <f>SUM(M95:M99)</f>
      </c>
      <c r="N94" s="127">
        <f>SUM(N95:N99)</f>
      </c>
      <c r="O94" s="1"/>
      <c r="P94" s="1"/>
      <c r="Q94" s="1"/>
      <c r="R94" s="54"/>
      <c r="S94" s="1"/>
      <c r="T94" s="1"/>
    </row>
    <row r="95">
      <c r="A95" s="1"/>
      <c r="B95" s="90" t="str">
        <v>展会</v>
      </c>
      <c r="C95" s="170">
        <f>'线下门店-小计'!C27*(C15/('26年全渠道汇总'!C15-'线下门店-小计'!C15))</f>
      </c>
      <c r="D95" s="170">
        <f>'线下门店-小计'!D27*(D15/('26年全渠道汇总'!D15-'线下门店-小计'!D15))</f>
      </c>
      <c r="E95" s="170">
        <f>'线下门店-小计'!E27*(E15/('26年全渠道汇总'!E15-'线下门店-小计'!E15))</f>
      </c>
      <c r="F95" s="170">
        <f>'线下门店-小计'!F27*(F15/('26年全渠道汇总'!F15-'线下门店-小计'!F15))</f>
      </c>
      <c r="G95" s="170">
        <f>'线下门店-小计'!G27*(G15/('26年全渠道汇总'!G15-'线下门店-小计'!G15))</f>
      </c>
      <c r="H95" s="170">
        <f>'线下门店-小计'!H27*(H15/('26年全渠道汇总'!H15-'线下门店-小计'!H15))</f>
      </c>
      <c r="I95" s="170">
        <f>'线下门店-小计'!I27*(I15/('26年全渠道汇总'!I15-'线下门店-小计'!I15))</f>
      </c>
      <c r="J95" s="170">
        <f>'线下门店-小计'!J27*(J15/('26年全渠道汇总'!J15-'线下门店-小计'!J15))</f>
      </c>
      <c r="K95" s="170">
        <f>'线下门店-小计'!K27*(K15/('26年全渠道汇总'!K15-'线下门店-小计'!K15))</f>
      </c>
      <c r="L95" s="170">
        <f>'线下门店-小计'!L27*(L15/('26年全渠道汇总'!L15-'线下门店-小计'!L15))</f>
      </c>
      <c r="M95" s="170">
        <f>'线下门店-小计'!M27*(M15/('26年全渠道汇总'!M15-'线下门店-小计'!M15))</f>
      </c>
      <c r="N95" s="170">
        <f>'线下门店-小计'!N27*(N15/('26年全渠道汇总'!N15-'线下门店-小计'!N15))</f>
      </c>
      <c r="O95" s="1"/>
      <c r="P95" s="1"/>
      <c r="Q95" s="1"/>
      <c r="R95" s="54"/>
      <c r="S95" s="1"/>
      <c r="T95" s="1"/>
    </row>
    <row r="96">
      <c r="A96" s="1"/>
      <c r="B96" s="90" t="str">
        <v>品牌营销</v>
      </c>
      <c r="C96" s="170">
        <f>'线下门店-小计'!C28*(C15/('26年全渠道汇总'!C15-'线下门店-小计'!C15))</f>
      </c>
      <c r="D96" s="170">
        <f>'线下门店-小计'!D28*(D15/('26年全渠道汇总'!D15-'线下门店-小计'!D15))</f>
      </c>
      <c r="E96" s="170">
        <f>'线下门店-小计'!E28*(E15/('26年全渠道汇总'!E15-'线下门店-小计'!E15))</f>
      </c>
      <c r="F96" s="170">
        <f>'线下门店-小计'!F28*(F15/('26年全渠道汇总'!F15-'线下门店-小计'!F15))</f>
      </c>
      <c r="G96" s="170">
        <f>'线下门店-小计'!G28*(G15/('26年全渠道汇总'!G15-'线下门店-小计'!G15))</f>
      </c>
      <c r="H96" s="170">
        <f>'线下门店-小计'!H28*(H15/('26年全渠道汇总'!H15-'线下门店-小计'!H15))</f>
      </c>
      <c r="I96" s="170">
        <f>'线下门店-小计'!I28*(I15/('26年全渠道汇总'!I15-'线下门店-小计'!I15))</f>
      </c>
      <c r="J96" s="170">
        <f>'线下门店-小计'!J28*(J15/('26年全渠道汇总'!J15-'线下门店-小计'!J15))</f>
      </c>
      <c r="K96" s="170">
        <f>'线下门店-小计'!K28*(K15/('26年全渠道汇总'!K15-'线下门店-小计'!K15))</f>
      </c>
      <c r="L96" s="170">
        <f>'线下门店-小计'!L28*(L15/('26年全渠道汇总'!L15-'线下门店-小计'!L15))</f>
      </c>
      <c r="M96" s="170">
        <f>'线下门店-小计'!M28*(M15/('26年全渠道汇总'!M15-'线下门店-小计'!M15))</f>
      </c>
      <c r="N96" s="170">
        <f>'线下门店-小计'!N28*(N15/('26年全渠道汇总'!N15-'线下门店-小计'!N15))</f>
      </c>
      <c r="O96" s="1"/>
      <c r="P96" s="1"/>
      <c r="Q96" s="1"/>
      <c r="R96" s="54"/>
      <c r="S96" s="1"/>
      <c r="T96" s="1"/>
    </row>
    <row r="97">
      <c r="A97" s="1"/>
      <c r="B97" s="90" t="str">
        <v>内容素材制作</v>
      </c>
      <c r="C97" s="170">
        <f>'线下门店-小计'!C29*(C15/('26年全渠道汇总'!C15-'线下门店-小计'!C15))</f>
      </c>
      <c r="D97" s="170">
        <f>'线下门店-小计'!D29*(D15/('26年全渠道汇总'!D15-'线下门店-小计'!D15))</f>
      </c>
      <c r="E97" s="170">
        <f>'线下门店-小计'!E29*(E15/('26年全渠道汇总'!E15-'线下门店-小计'!E15))</f>
      </c>
      <c r="F97" s="170">
        <f>'线下门店-小计'!F29*(F15/('26年全渠道汇总'!F15-'线下门店-小计'!F15))</f>
      </c>
      <c r="G97" s="170">
        <f>'线下门店-小计'!G29*(G15/('26年全渠道汇总'!G15-'线下门店-小计'!G15))</f>
      </c>
      <c r="H97" s="170">
        <f>'线下门店-小计'!H29*(H15/('26年全渠道汇总'!H15-'线下门店-小计'!H15))</f>
      </c>
      <c r="I97" s="170">
        <f>'线下门店-小计'!I29*(I15/('26年全渠道汇总'!I15-'线下门店-小计'!I15))</f>
      </c>
      <c r="J97" s="170">
        <f>'线下门店-小计'!J29*(J15/('26年全渠道汇总'!J15-'线下门店-小计'!J15))</f>
      </c>
      <c r="K97" s="170">
        <f>'线下门店-小计'!K29*(K15/('26年全渠道汇总'!K15-'线下门店-小计'!K15))</f>
      </c>
      <c r="L97" s="170">
        <f>'线下门店-小计'!L29*(L15/('26年全渠道汇总'!L15-'线下门店-小计'!L15))</f>
      </c>
      <c r="M97" s="170">
        <f>'线下门店-小计'!M29*(M15/('26年全渠道汇总'!M15-'线下门店-小计'!M15))</f>
      </c>
      <c r="N97" s="170">
        <f>'线下门店-小计'!N29*(N15/('26年全渠道汇总'!N15-'线下门店-小计'!N15))</f>
      </c>
      <c r="O97" s="1"/>
      <c r="P97" s="1"/>
      <c r="Q97" s="1"/>
      <c r="R97" s="54"/>
      <c r="S97" s="1"/>
      <c r="T97" s="1"/>
    </row>
    <row r="98">
      <c r="A98" s="1"/>
      <c r="B98" s="90" t="str">
        <v>公关费用</v>
      </c>
      <c r="C98" s="170">
        <f>'线下门店-小计'!C30*(C15/('26年全渠道汇总'!C15-'线下门店-小计'!C15))</f>
      </c>
      <c r="D98" s="170">
        <f>'线下门店-小计'!D30*(D15/('26年全渠道汇总'!D15-'线下门店-小计'!D15))</f>
      </c>
      <c r="E98" s="170">
        <f>'线下门店-小计'!E30*(E15/('26年全渠道汇总'!E15-'线下门店-小计'!E15))</f>
      </c>
      <c r="F98" s="170">
        <f>'线下门店-小计'!F30*(F15/('26年全渠道汇总'!F15-'线下门店-小计'!F15))</f>
      </c>
      <c r="G98" s="170">
        <f>'线下门店-小计'!G30*(G15/('26年全渠道汇总'!G15-'线下门店-小计'!G15))</f>
      </c>
      <c r="H98" s="170">
        <f>'线下门店-小计'!H30*(H15/('26年全渠道汇总'!H15-'线下门店-小计'!H15))</f>
      </c>
      <c r="I98" s="170">
        <f>'线下门店-小计'!I30*(I15/('26年全渠道汇总'!I15-'线下门店-小计'!I15))</f>
      </c>
      <c r="J98" s="170">
        <f>'线下门店-小计'!J30*(J15/('26年全渠道汇总'!J15-'线下门店-小计'!J15))</f>
      </c>
      <c r="K98" s="170">
        <f>'线下门店-小计'!K30*(K15/('26年全渠道汇总'!K15-'线下门店-小计'!K15))</f>
      </c>
      <c r="L98" s="170">
        <f>'线下门店-小计'!L30*(L15/('26年全渠道汇总'!L15-'线下门店-小计'!L15))</f>
      </c>
      <c r="M98" s="170">
        <f>'线下门店-小计'!M30*(M15/('26年全渠道汇总'!M15-'线下门店-小计'!M15))</f>
      </c>
      <c r="N98" s="170">
        <f>'线下门店-小计'!N30*(N15/('26年全渠道汇总'!N15-'线下门店-小计'!N15))</f>
      </c>
      <c r="O98" s="1"/>
      <c r="P98" s="1"/>
      <c r="Q98" s="1"/>
      <c r="R98" s="54"/>
      <c r="S98" s="1"/>
      <c r="T98" s="1"/>
    </row>
    <row r="99">
      <c r="A99" s="1"/>
      <c r="B99" s="90" t="str">
        <v>达人种草、样机及加热</v>
      </c>
      <c r="C99" s="170">
        <f>'线下门店-小计'!C31*(C15/('26年全渠道汇总'!C15-'线下门店-小计'!C15))</f>
      </c>
      <c r="D99" s="170">
        <f>'线下门店-小计'!D31*(D15/('26年全渠道汇总'!D15-'线下门店-小计'!D15))</f>
      </c>
      <c r="E99" s="170">
        <f>'线下门店-小计'!E31*(E15/('26年全渠道汇总'!E15-'线下门店-小计'!E15))</f>
      </c>
      <c r="F99" s="170">
        <f>'线下门店-小计'!F31*(F15/('26年全渠道汇总'!F15-'线下门店-小计'!F15))</f>
      </c>
      <c r="G99" s="170">
        <f>'线下门店-小计'!G31*(G15/('26年全渠道汇总'!G15-'线下门店-小计'!G15))</f>
      </c>
      <c r="H99" s="170">
        <f>'线下门店-小计'!H31*(H15/('26年全渠道汇总'!H15-'线下门店-小计'!H15))</f>
      </c>
      <c r="I99" s="170">
        <f>'线下门店-小计'!I31*(I15/('26年全渠道汇总'!I15-'线下门店-小计'!I15))</f>
      </c>
      <c r="J99" s="170">
        <f>'线下门店-小计'!J31*(J15/('26年全渠道汇总'!J15-'线下门店-小计'!J15))</f>
      </c>
      <c r="K99" s="170">
        <f>'线下门店-小计'!K31*(K15/('26年全渠道汇总'!K15-'线下门店-小计'!K15))</f>
      </c>
      <c r="L99" s="170">
        <f>'线下门店-小计'!L31*(L15/('26年全渠道汇总'!L15-'线下门店-小计'!L15))</f>
      </c>
      <c r="M99" s="170">
        <f>'线下门店-小计'!M31*(M15/('26年全渠道汇总'!M15-'线下门店-小计'!M15))</f>
      </c>
      <c r="N99" s="170">
        <f>'线下门店-小计'!N31*(N15/('26年全渠道汇总'!N15-'线下门店-小计'!N15))</f>
      </c>
      <c r="O99" s="1"/>
      <c r="P99" s="1"/>
      <c r="Q99" s="1"/>
      <c r="R99" s="54"/>
      <c r="S99" s="1"/>
      <c r="T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54"/>
      <c r="S100" s="1"/>
      <c r="T100" s="1"/>
    </row>
    <row r="101">
      <c r="A101" s="1"/>
      <c r="B101" s="1" t="str">
        <v>总计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54"/>
      <c r="S101" s="1"/>
      <c r="T101" s="1"/>
    </row>
    <row r="102">
      <c r="A102" s="1"/>
      <c r="B102" s="85" t="str">
        <v>品牌及内容费用</v>
      </c>
      <c r="C102" s="127">
        <f>SUM(C103:C107)</f>
      </c>
      <c r="D102" s="127">
        <f>SUM(D103:D107)</f>
      </c>
      <c r="E102" s="127">
        <f>SUM(E103:E107)</f>
      </c>
      <c r="F102" s="127">
        <f>SUM(F103:F107)</f>
      </c>
      <c r="G102" s="127">
        <f>SUM(G103:G107)</f>
      </c>
      <c r="H102" s="127">
        <f>SUM(H103:H107)</f>
      </c>
      <c r="I102" s="127">
        <f>SUM(I103:I107)</f>
      </c>
      <c r="J102" s="127">
        <f>SUM(J103:J107)</f>
      </c>
      <c r="K102" s="127">
        <f>SUM(K103:K107)</f>
      </c>
      <c r="L102" s="127">
        <f>SUM(L103:L107)</f>
      </c>
      <c r="M102" s="127">
        <f>SUM(M103:M107)</f>
      </c>
      <c r="N102" s="127">
        <f>SUM(N103:N107)</f>
      </c>
      <c r="O102" s="1"/>
      <c r="P102" s="1"/>
      <c r="Q102" s="1"/>
      <c r="R102" s="54"/>
      <c r="S102" s="1"/>
      <c r="T102" s="1"/>
    </row>
    <row r="103">
      <c r="A103" s="1"/>
      <c r="B103" s="90" t="str">
        <v>展会</v>
      </c>
      <c r="C103" s="170">
        <f>C95+C27</f>
      </c>
      <c r="D103" s="170">
        <f>D95+D27</f>
      </c>
      <c r="E103" s="170">
        <f>E95+E27</f>
      </c>
      <c r="F103" s="170">
        <f>F95+F27</f>
      </c>
      <c r="G103" s="170">
        <f>G95+G27</f>
      </c>
      <c r="H103" s="170">
        <f>H95+H27</f>
      </c>
      <c r="I103" s="170">
        <f>I95+I27</f>
      </c>
      <c r="J103" s="170">
        <f>J95+J27</f>
      </c>
      <c r="K103" s="170">
        <f>K95+K27</f>
      </c>
      <c r="L103" s="170">
        <f>L95+L27</f>
      </c>
      <c r="M103" s="170">
        <f>M95+M27</f>
      </c>
      <c r="N103" s="170">
        <f>N95+N27</f>
      </c>
      <c r="O103" s="1"/>
      <c r="P103" s="1"/>
      <c r="Q103" s="1"/>
      <c r="R103" s="54"/>
      <c r="S103" s="1"/>
      <c r="T103" s="1"/>
    </row>
    <row r="104">
      <c r="A104" s="1"/>
      <c r="B104" s="90" t="str">
        <v>品牌营销</v>
      </c>
      <c r="C104" s="170">
        <f>C96+C28</f>
      </c>
      <c r="D104" s="170">
        <f>D96+D28</f>
      </c>
      <c r="E104" s="170">
        <f>E96+E28</f>
      </c>
      <c r="F104" s="170">
        <f>F96+F28</f>
      </c>
      <c r="G104" s="170">
        <f>G96+G28</f>
      </c>
      <c r="H104" s="170">
        <f>H96+H28</f>
      </c>
      <c r="I104" s="170">
        <f>I96+I28</f>
      </c>
      <c r="J104" s="170">
        <f>J96+J28</f>
      </c>
      <c r="K104" s="170">
        <f>K96+K28</f>
      </c>
      <c r="L104" s="170">
        <f>L96+L28</f>
      </c>
      <c r="M104" s="170">
        <f>M96+M28</f>
      </c>
      <c r="N104" s="170">
        <f>N96+N28</f>
      </c>
      <c r="O104" s="1"/>
      <c r="P104" s="1"/>
      <c r="Q104" s="1"/>
      <c r="R104" s="54"/>
      <c r="S104" s="1"/>
      <c r="T104" s="1"/>
    </row>
    <row r="105">
      <c r="A105" s="1"/>
      <c r="B105" s="90" t="str">
        <v>内容素材制作</v>
      </c>
      <c r="C105" s="170">
        <f>C97+C29</f>
      </c>
      <c r="D105" s="170">
        <f>D97+D29</f>
      </c>
      <c r="E105" s="170">
        <f>E97+E29</f>
      </c>
      <c r="F105" s="170">
        <f>F97+F29</f>
      </c>
      <c r="G105" s="170">
        <f>G97+G29</f>
      </c>
      <c r="H105" s="170">
        <f>H97+H29</f>
      </c>
      <c r="I105" s="170">
        <f>I97+I29</f>
      </c>
      <c r="J105" s="170">
        <f>J97+J29</f>
      </c>
      <c r="K105" s="170">
        <f>K97+K29</f>
      </c>
      <c r="L105" s="170">
        <f>L97+L29</f>
      </c>
      <c r="M105" s="170">
        <f>M97+M29</f>
      </c>
      <c r="N105" s="170">
        <f>N97+N29</f>
      </c>
      <c r="O105" s="1"/>
      <c r="P105" s="1"/>
      <c r="Q105" s="1"/>
      <c r="R105" s="54"/>
      <c r="S105" s="1"/>
      <c r="T105" s="1"/>
    </row>
    <row r="106">
      <c r="A106" s="1"/>
      <c r="B106" s="90" t="str">
        <v>公关费用</v>
      </c>
      <c r="C106" s="170">
        <f>C98+C30</f>
      </c>
      <c r="D106" s="170">
        <f>D98+D30</f>
      </c>
      <c r="E106" s="170">
        <f>E98+E30</f>
      </c>
      <c r="F106" s="170">
        <f>F98+F30</f>
      </c>
      <c r="G106" s="170">
        <f>G98+G30</f>
      </c>
      <c r="H106" s="170">
        <f>H98+H30</f>
      </c>
      <c r="I106" s="170">
        <f>I98+I30</f>
      </c>
      <c r="J106" s="170">
        <f>J98+J30</f>
      </c>
      <c r="K106" s="170">
        <f>K98+K30</f>
      </c>
      <c r="L106" s="170">
        <f>L98+L30</f>
      </c>
      <c r="M106" s="170">
        <f>M98+M30</f>
      </c>
      <c r="N106" s="170">
        <f>N98+N30</f>
      </c>
      <c r="O106" s="1"/>
      <c r="P106" s="1"/>
      <c r="Q106" s="1"/>
      <c r="R106" s="54"/>
      <c r="S106" s="1"/>
      <c r="T106" s="1"/>
    </row>
    <row r="107">
      <c r="A107" s="1"/>
      <c r="B107" s="90" t="str">
        <v>达人种草、样机及加热</v>
      </c>
      <c r="C107" s="170">
        <f>C99+C31</f>
      </c>
      <c r="D107" s="170">
        <f>D99+D31</f>
      </c>
      <c r="E107" s="170">
        <f>E99+E31</f>
      </c>
      <c r="F107" s="170">
        <f>F99+F31</f>
      </c>
      <c r="G107" s="170">
        <f>G99+G31</f>
      </c>
      <c r="H107" s="170">
        <f>H99+H31</f>
      </c>
      <c r="I107" s="170">
        <f>I99+I31</f>
      </c>
      <c r="J107" s="170">
        <f>J99+J31</f>
      </c>
      <c r="K107" s="170">
        <f>K99+K31</f>
      </c>
      <c r="L107" s="170">
        <f>L99+L31</f>
      </c>
      <c r="M107" s="170">
        <f>M99+M31</f>
      </c>
      <c r="N107" s="170">
        <f>N99+N31</f>
      </c>
      <c r="O107" s="1"/>
      <c r="P107" s="1"/>
      <c r="Q107" s="1"/>
      <c r="R107" s="54"/>
      <c r="S107" s="1"/>
      <c r="T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54"/>
      <c r="S108" s="1"/>
      <c r="T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54"/>
      <c r="S109" s="1"/>
      <c r="T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54"/>
      <c r="S110" s="1"/>
      <c r="T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54"/>
      <c r="S111" s="1"/>
      <c r="T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54"/>
      <c r="S112" s="1"/>
      <c r="T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54"/>
      <c r="S113" s="1"/>
      <c r="T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54"/>
      <c r="S114" s="1"/>
      <c r="T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54"/>
      <c r="S115" s="1"/>
      <c r="T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54"/>
      <c r="S116" s="1"/>
      <c r="T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54"/>
      <c r="S117" s="1"/>
      <c r="T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54"/>
      <c r="S118" s="1"/>
      <c r="T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54"/>
      <c r="S119" s="1"/>
      <c r="T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54"/>
      <c r="S120" s="1"/>
      <c r="T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54"/>
      <c r="S121" s="1"/>
      <c r="T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54"/>
      <c r="S122" s="1"/>
      <c r="T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54"/>
      <c r="S123" s="1"/>
      <c r="T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54"/>
      <c r="S124" s="1"/>
      <c r="T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54"/>
      <c r="S125" s="1"/>
      <c r="T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54"/>
      <c r="S126" s="1"/>
      <c r="T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54"/>
      <c r="S127" s="1"/>
      <c r="T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54"/>
      <c r="S128" s="1"/>
      <c r="T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54"/>
      <c r="S129" s="1"/>
      <c r="T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54"/>
      <c r="S130" s="1"/>
      <c r="T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54"/>
      <c r="S131" s="1"/>
      <c r="T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54"/>
      <c r="S132" s="1"/>
      <c r="T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54"/>
      <c r="S133" s="1"/>
      <c r="T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54"/>
      <c r="S134" s="1"/>
      <c r="T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54"/>
      <c r="S135" s="1"/>
      <c r="T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54"/>
      <c r="S136" s="1"/>
      <c r="T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54"/>
      <c r="S137" s="1"/>
      <c r="T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54"/>
      <c r="S138" s="1"/>
      <c r="T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54"/>
      <c r="S139" s="1"/>
      <c r="T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54"/>
      <c r="S140" s="1"/>
      <c r="T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54"/>
      <c r="S141" s="1"/>
      <c r="T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54"/>
      <c r="S142" s="1"/>
      <c r="T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54"/>
      <c r="S143" s="1"/>
      <c r="T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54"/>
      <c r="S144" s="1"/>
      <c r="T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54"/>
      <c r="S145" s="1"/>
      <c r="T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54"/>
      <c r="S146" s="1"/>
      <c r="T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54"/>
      <c r="S147" s="1"/>
      <c r="T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54"/>
      <c r="S148" s="1"/>
      <c r="T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54"/>
      <c r="S149" s="1"/>
      <c r="T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54"/>
      <c r="S150" s="1"/>
      <c r="T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54"/>
      <c r="S151" s="1"/>
      <c r="T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54"/>
      <c r="S152" s="1"/>
      <c r="T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54"/>
      <c r="S153" s="1"/>
      <c r="T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54"/>
      <c r="S154" s="1"/>
      <c r="T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54"/>
      <c r="S155" s="1"/>
      <c r="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54"/>
      <c r="S156" s="1"/>
      <c r="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54"/>
      <c r="S157" s="1"/>
      <c r="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54"/>
      <c r="S158" s="1"/>
      <c r="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54"/>
      <c r="S159" s="1"/>
      <c r="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54"/>
      <c r="S160" s="1"/>
      <c r="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54"/>
      <c r="S161" s="1"/>
      <c r="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54"/>
      <c r="S162" s="1"/>
      <c r="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54"/>
      <c r="S163" s="1"/>
      <c r="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54"/>
      <c r="S164" s="1"/>
      <c r="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54"/>
      <c r="S165" s="1"/>
      <c r="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54"/>
      <c r="S166" s="1"/>
      <c r="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54"/>
      <c r="S167" s="1"/>
      <c r="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54"/>
      <c r="S168" s="1"/>
      <c r="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54"/>
      <c r="S169" s="1"/>
      <c r="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54"/>
      <c r="S170" s="1"/>
      <c r="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54"/>
      <c r="S171" s="1"/>
      <c r="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54"/>
      <c r="S172" s="1"/>
      <c r="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54"/>
      <c r="S173" s="1"/>
      <c r="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54"/>
      <c r="S174" s="1"/>
      <c r="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54"/>
      <c r="S175" s="1"/>
      <c r="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54"/>
      <c r="S176" s="1"/>
      <c r="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54"/>
      <c r="S177" s="1"/>
      <c r="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54"/>
      <c r="S178" s="1"/>
      <c r="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54"/>
      <c r="S179" s="1"/>
      <c r="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54"/>
      <c r="S180" s="1"/>
      <c r="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54"/>
      <c r="S181" s="1"/>
      <c r="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54"/>
      <c r="S182" s="1"/>
      <c r="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54"/>
      <c r="S183" s="1"/>
      <c r="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54"/>
      <c r="S184" s="1"/>
      <c r="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54"/>
      <c r="S185" s="1"/>
      <c r="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54"/>
      <c r="S186" s="1"/>
      <c r="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54"/>
      <c r="S187" s="1"/>
      <c r="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54"/>
      <c r="S188" s="1"/>
      <c r="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54"/>
      <c r="S189" s="1"/>
      <c r="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54"/>
      <c r="S190" s="1"/>
      <c r="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54"/>
      <c r="S191" s="1"/>
      <c r="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54"/>
      <c r="S192" s="1"/>
      <c r="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54"/>
      <c r="S193" s="1"/>
      <c r="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54"/>
      <c r="S194" s="1"/>
      <c r="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54"/>
      <c r="S195" s="1"/>
      <c r="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54"/>
      <c r="S196" s="1"/>
      <c r="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54"/>
      <c r="S197" s="1"/>
      <c r="T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54"/>
      <c r="S198" s="1"/>
      <c r="T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54"/>
      <c r="S199" s="1"/>
      <c r="T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54"/>
      <c r="S200" s="1"/>
      <c r="T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54"/>
      <c r="S201" s="1"/>
      <c r="T201" s="1"/>
    </row>
  </sheetData>
  <picture r:id="rId1"/>
</worksheet>
</file>

<file path=xl/worksheets/sheet1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A1" s="1"/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  <c r="R1" s="1"/>
      <c r="S1" s="1"/>
      <c r="T1" s="1"/>
    </row>
    <row r="2">
      <c r="A2" s="1"/>
      <c r="B2" s="90" t="str">
        <v>退后销量</v>
      </c>
      <c r="C2" s="118">
        <v>1370.1057195561598</v>
      </c>
      <c r="D2" s="118">
        <v>1249.6568650896843</v>
      </c>
      <c r="E2" s="118">
        <v>1460.4423604060164</v>
      </c>
      <c r="F2" s="118">
        <v>1212.0165980689105</v>
      </c>
      <c r="G2" s="118">
        <v>2115.3830065674774</v>
      </c>
      <c r="H2" s="118">
        <v>1829.316977209598</v>
      </c>
      <c r="I2" s="118">
        <v>1189.4324378564465</v>
      </c>
      <c r="J2" s="118">
        <v>1495.0714060651283</v>
      </c>
      <c r="K2" s="118">
        <v>1648.6436955098845</v>
      </c>
      <c r="L2" s="118">
        <v>2184.641097885701</v>
      </c>
      <c r="M2" s="118">
        <v>1698.3288479773057</v>
      </c>
      <c r="N2" s="118">
        <v>1517.6555662775925</v>
      </c>
      <c r="O2" s="118">
        <f>SUM(C2:N2)</f>
      </c>
      <c r="P2" s="118"/>
      <c r="Q2" s="1"/>
      <c r="R2" s="1"/>
      <c r="S2" s="1"/>
      <c r="T2" s="1"/>
    </row>
    <row r="3">
      <c r="A3" s="135"/>
      <c r="B3" s="94" t="str">
        <v>自补前GMV</v>
      </c>
      <c r="C3" s="94">
        <v>327113.510676</v>
      </c>
      <c r="D3" s="94">
        <v>218075.67378399998</v>
      </c>
      <c r="E3" s="94">
        <v>654227.021352</v>
      </c>
      <c r="F3" s="94">
        <v>218075.67378399998</v>
      </c>
      <c r="G3" s="94">
        <v>1690086.471826</v>
      </c>
      <c r="H3" s="94">
        <v>599708.102906</v>
      </c>
      <c r="I3" s="94">
        <v>272594.59223</v>
      </c>
      <c r="J3" s="94">
        <v>1253935.124258</v>
      </c>
      <c r="K3" s="94">
        <v>545189.18446</v>
      </c>
      <c r="L3" s="94">
        <v>4252475.638788</v>
      </c>
      <c r="M3" s="94">
        <v>545189.18446</v>
      </c>
      <c r="N3" s="94">
        <v>327113.510676</v>
      </c>
      <c r="O3" s="94">
        <f>SUM(C3:N3)</f>
      </c>
      <c r="P3" s="94"/>
      <c r="Q3" s="146" t="str">
        <v>渠道填写</v>
      </c>
      <c r="R3" s="1"/>
      <c r="S3" s="1"/>
      <c r="T3" s="1"/>
    </row>
    <row r="4">
      <c r="A4" s="135"/>
      <c r="B4" s="94" t="str">
        <v>自补前GSV</v>
      </c>
      <c r="C4" s="94">
        <v>251496.4296</v>
      </c>
      <c r="D4" s="94">
        <v>167715.481</v>
      </c>
      <c r="E4" s="94">
        <v>495563.9307</v>
      </c>
      <c r="F4" s="94">
        <v>176169.6024</v>
      </c>
      <c r="G4" s="94">
        <v>1278821.576</v>
      </c>
      <c r="H4" s="94">
        <v>483802.8212</v>
      </c>
      <c r="I4" s="94">
        <v>204218.6497</v>
      </c>
      <c r="J4" s="94">
        <v>890293.6471</v>
      </c>
      <c r="K4" s="94">
        <v>350077.4088</v>
      </c>
      <c r="L4" s="94">
        <v>3055502.808</v>
      </c>
      <c r="M4" s="94">
        <v>381768.7292</v>
      </c>
      <c r="N4" s="94">
        <v>245087.4765</v>
      </c>
      <c r="O4" s="94">
        <f>SUM(C4:N4)</f>
      </c>
      <c r="P4" s="94"/>
      <c r="Q4" s="146" t="str">
        <v>渠道填写</v>
      </c>
      <c r="R4" s="1"/>
      <c r="S4" s="1"/>
      <c r="T4" s="1"/>
    </row>
    <row r="5">
      <c r="A5" s="135"/>
      <c r="B5" s="94" t="str">
        <v>国补自补费用</v>
      </c>
      <c r="C5" s="94">
        <f>C4*15%</f>
      </c>
      <c r="D5" s="94">
        <f>D4*15%</f>
      </c>
      <c r="E5" s="94">
        <f>E4*15%</f>
      </c>
      <c r="F5" s="94">
        <f>F4*15%</f>
      </c>
      <c r="G5" s="94">
        <f>G4*15%</f>
      </c>
      <c r="H5" s="94">
        <f>H4*15%</f>
      </c>
      <c r="I5" s="94">
        <f>I4*15%</f>
      </c>
      <c r="J5" s="94">
        <f>J4*15%</f>
      </c>
      <c r="K5" s="94">
        <f>K4*15%</f>
      </c>
      <c r="L5" s="94">
        <f>L4*15%</f>
      </c>
      <c r="M5" s="94">
        <f>M4*15%</f>
      </c>
      <c r="N5" s="94">
        <f>N4*15%</f>
      </c>
      <c r="O5" s="94">
        <f>SUM(C5:N5)</f>
      </c>
      <c r="P5" s="94"/>
      <c r="Q5" s="126" t="str">
        <v>渠道填写</v>
      </c>
      <c r="R5" s="1"/>
      <c r="S5" s="1"/>
      <c r="T5" s="1"/>
    </row>
    <row r="6">
      <c r="A6" s="135"/>
      <c r="B6" s="98" t="str">
        <v>GMV（国补后）</v>
      </c>
      <c r="C6" s="98">
        <f>C3*(1-15%)</f>
      </c>
      <c r="D6" s="98">
        <f>D3*(1-15%)</f>
      </c>
      <c r="E6" s="98">
        <f>E3*(1-15%)</f>
      </c>
      <c r="F6" s="98">
        <f>F3*(1-15%)</f>
      </c>
      <c r="G6" s="98">
        <f>G3*(1-15%)</f>
      </c>
      <c r="H6" s="98">
        <f>H3*(1-15%)</f>
      </c>
      <c r="I6" s="98">
        <f>I3*(1-15%)</f>
      </c>
      <c r="J6" s="98">
        <f>J3*(1-15%)</f>
      </c>
      <c r="K6" s="98">
        <f>K3*(1-15%)</f>
      </c>
      <c r="L6" s="98">
        <f>L3*(1-15%)</f>
      </c>
      <c r="M6" s="98">
        <f>M3*(1-15%)</f>
      </c>
      <c r="N6" s="98">
        <f>N3*(1-15%)</f>
      </c>
      <c r="O6" s="98">
        <f>SUM(C6:N6)</f>
      </c>
      <c r="P6" s="98"/>
      <c r="Q6" s="126" t="str">
        <v>渠道填写</v>
      </c>
      <c r="R6" s="1"/>
      <c r="S6" s="1"/>
      <c r="T6" s="1"/>
    </row>
    <row r="7">
      <c r="A7" s="135"/>
      <c r="B7" s="102" t="str">
        <v>退货率（发货前+后）</v>
      </c>
      <c r="C7" s="102">
        <f>(C3-C4)/C3</f>
      </c>
      <c r="D7" s="102">
        <f>(D3-D4)/D3</f>
      </c>
      <c r="E7" s="102">
        <f>(E3-E4)/E3</f>
      </c>
      <c r="F7" s="102">
        <f>(F3-F4)/F3</f>
      </c>
      <c r="G7" s="102">
        <f>(G3-G4)/G3</f>
      </c>
      <c r="H7" s="102">
        <f>(H3-H4)/H3</f>
      </c>
      <c r="I7" s="102">
        <f>(I3-I4)/I3</f>
      </c>
      <c r="J7" s="102">
        <f>(J3-J4)/J3</f>
      </c>
      <c r="K7" s="102">
        <f>(K3-K4)/K3</f>
      </c>
      <c r="L7" s="102">
        <f>(L3-L4)/L3</f>
      </c>
      <c r="M7" s="102">
        <f>(M3-M4)/M3</f>
      </c>
      <c r="N7" s="102">
        <f>(N3-N4)/N3</f>
      </c>
      <c r="O7" s="102">
        <f>1-O8/O6</f>
      </c>
      <c r="P7" s="102"/>
      <c r="Q7" s="1" t="str">
        <v>渠道填写</v>
      </c>
      <c r="R7" s="1"/>
      <c r="S7" s="1"/>
      <c r="T7" s="1"/>
    </row>
    <row r="8">
      <c r="A8" s="135"/>
      <c r="B8" s="98" t="str">
        <v>GSV（国补后）</v>
      </c>
      <c r="C8" s="98">
        <f>C4-C5</f>
      </c>
      <c r="D8" s="98">
        <f>D4-D5</f>
      </c>
      <c r="E8" s="98">
        <f>E4-E5</f>
      </c>
      <c r="F8" s="98">
        <f>F4-F5</f>
      </c>
      <c r="G8" s="98">
        <f>G4-G5</f>
      </c>
      <c r="H8" s="98">
        <f>H4-H5</f>
      </c>
      <c r="I8" s="98">
        <f>I4-I5</f>
      </c>
      <c r="J8" s="98">
        <f>J4-J5</f>
      </c>
      <c r="K8" s="98">
        <f>K4-K5</f>
      </c>
      <c r="L8" s="98">
        <f>L4-L5</f>
      </c>
      <c r="M8" s="98">
        <f>M4-M5</f>
      </c>
      <c r="N8" s="98">
        <f>N4-N5</f>
      </c>
      <c r="O8" s="98">
        <f>SUM(C8:N8)</f>
      </c>
      <c r="P8" s="98"/>
      <c r="Q8" s="1" t="str">
        <v>渠道填写</v>
      </c>
      <c r="R8" s="1"/>
      <c r="S8" s="1"/>
      <c r="T8" s="1"/>
    </row>
    <row r="9">
      <c r="A9" s="1"/>
      <c r="B9" s="90"/>
      <c r="C9" s="88">
        <f>C10-C14-C15</f>
      </c>
      <c r="D9" s="88">
        <f>D10-D14-D15</f>
      </c>
      <c r="E9" s="88">
        <f>E10-E14-E15</f>
      </c>
      <c r="F9" s="88">
        <f>F10-F14-F15</f>
      </c>
      <c r="G9" s="88">
        <f>G10-G14-G15</f>
      </c>
      <c r="H9" s="88">
        <f>H10-H14-H15</f>
      </c>
      <c r="I9" s="88">
        <f>I10-I14-I15</f>
      </c>
      <c r="J9" s="88">
        <f>J10-J14-J15</f>
      </c>
      <c r="K9" s="88">
        <f>K10-K14-K15</f>
      </c>
      <c r="L9" s="88">
        <f>L10-L14-L15</f>
      </c>
      <c r="M9" s="88">
        <f>M10-M14-M15</f>
      </c>
      <c r="N9" s="88">
        <f>N10-N14-N15</f>
      </c>
      <c r="O9" s="88">
        <f>O10-O14-O15</f>
      </c>
      <c r="P9" s="118"/>
      <c r="Q9" s="1"/>
      <c r="R9" s="1"/>
      <c r="S9" s="1"/>
      <c r="T9" s="1"/>
    </row>
    <row r="10">
      <c r="A10" s="135"/>
      <c r="B10" s="98" t="str">
        <v>零售价（去除退货后的）</v>
      </c>
      <c r="C10" s="98">
        <v>314633.6085790795</v>
      </c>
      <c r="D10" s="98">
        <v>209819.78585355647</v>
      </c>
      <c r="E10" s="98">
        <v>562452.5772929677</v>
      </c>
      <c r="F10" s="98">
        <v>220396.28082677824</v>
      </c>
      <c r="G10" s="98">
        <v>1451430.2731900876</v>
      </c>
      <c r="H10" s="98">
        <v>549104.0142917101</v>
      </c>
      <c r="I10" s="98">
        <v>255486.92995941424</v>
      </c>
      <c r="J10" s="98">
        <v>1010460.8615312825</v>
      </c>
      <c r="K10" s="98">
        <v>437962.950758159</v>
      </c>
      <c r="L10" s="98">
        <v>3467918.714055635</v>
      </c>
      <c r="M10" s="98">
        <v>433297.8902744042</v>
      </c>
      <c r="N10" s="98">
        <v>306615.7132782427</v>
      </c>
      <c r="O10" s="98">
        <f>SUM(C10:N10)</f>
      </c>
      <c r="P10" s="98"/>
      <c r="Q10" s="1"/>
      <c r="R10" s="1"/>
      <c r="S10" s="1"/>
      <c r="T10" s="1"/>
    </row>
    <row r="11">
      <c r="A11" s="1"/>
      <c r="B11" s="85" t="str">
        <v>合同折扣及返利 (线下）</v>
      </c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>
        <f>SUM(C11:N11)</f>
      </c>
      <c r="P11" s="127"/>
      <c r="Q11" s="1" t="str">
        <v>线下渠道填写</v>
      </c>
      <c r="R11" s="1"/>
      <c r="S11" s="1"/>
      <c r="T11" s="1"/>
    </row>
    <row r="12">
      <c r="A12" s="1"/>
      <c r="B12" s="85" t="str">
        <v>国补自补 （线上）</v>
      </c>
      <c r="C12" s="127">
        <f>C5</f>
      </c>
      <c r="D12" s="127">
        <f>D5</f>
      </c>
      <c r="E12" s="127">
        <f>E5</f>
      </c>
      <c r="F12" s="127">
        <f>F5</f>
      </c>
      <c r="G12" s="127">
        <f>G5</f>
      </c>
      <c r="H12" s="127">
        <f>H5</f>
      </c>
      <c r="I12" s="127">
        <f>I5</f>
      </c>
      <c r="J12" s="127">
        <f>J5</f>
      </c>
      <c r="K12" s="127">
        <f>K5</f>
      </c>
      <c r="L12" s="127">
        <f>L5</f>
      </c>
      <c r="M12" s="127">
        <f>M5</f>
      </c>
      <c r="N12" s="127">
        <f>N5</f>
      </c>
      <c r="O12" s="127">
        <f>SUM(C12:N12)</f>
      </c>
      <c r="P12" s="173">
        <v>0.15</v>
      </c>
      <c r="Q12" s="1" t="str">
        <v>渠道填写</v>
      </c>
      <c r="R12" s="54">
        <f>O12/$O$10</f>
      </c>
      <c r="S12" s="1"/>
      <c r="T12" s="1"/>
    </row>
    <row r="13">
      <c r="A13" s="1"/>
      <c r="B13" s="85" t="str">
        <v>红包消费券等促销折扣</v>
      </c>
      <c r="C13" s="127">
        <v>63137.178979079494</v>
      </c>
      <c r="D13" s="127">
        <v>42104.30485355648</v>
      </c>
      <c r="E13" s="127">
        <v>66888.6465929677</v>
      </c>
      <c r="F13" s="127">
        <v>44226.67842677824</v>
      </c>
      <c r="G13" s="127">
        <v>172608.69719008787</v>
      </c>
      <c r="H13" s="127">
        <v>65301.1930917101</v>
      </c>
      <c r="I13" s="127">
        <v>51268.28025941423</v>
      </c>
      <c r="J13" s="127">
        <v>120167.21443128267</v>
      </c>
      <c r="K13" s="127">
        <v>87885.541958159</v>
      </c>
      <c r="L13" s="127">
        <v>412415.90605563513</v>
      </c>
      <c r="M13" s="127">
        <v>51529.16107440422</v>
      </c>
      <c r="N13" s="127">
        <v>61528.23677824267</v>
      </c>
      <c r="O13" s="127">
        <f>SUM(C13:N13)</f>
      </c>
      <c r="P13" s="127"/>
      <c r="Q13" s="1" t="str">
        <v>渠道填写</v>
      </c>
      <c r="R13" s="54">
        <f>O13/$O$10</f>
      </c>
      <c r="S13" s="1"/>
      <c r="T13" s="1"/>
    </row>
    <row r="14">
      <c r="A14" s="1"/>
      <c r="B14" s="83" t="str">
        <v>TTL 折扣合计</v>
      </c>
      <c r="C14" s="115">
        <f>SUM(C11:C13)</f>
      </c>
      <c r="D14" s="115">
        <f>SUM(D11:D13)</f>
      </c>
      <c r="E14" s="115">
        <f>SUM(E11:E13)</f>
      </c>
      <c r="F14" s="115">
        <f>SUM(F11:F13)</f>
      </c>
      <c r="G14" s="115">
        <f>SUM(G11:G13)</f>
      </c>
      <c r="H14" s="115">
        <f>SUM(H11:H13)</f>
      </c>
      <c r="I14" s="115">
        <f>SUM(I11:I13)</f>
      </c>
      <c r="J14" s="115">
        <f>SUM(J11:J13)</f>
      </c>
      <c r="K14" s="115">
        <f>SUM(K11:K13)</f>
      </c>
      <c r="L14" s="115">
        <f>SUM(L11:L13)</f>
      </c>
      <c r="M14" s="115">
        <f>SUM(M11:M13)</f>
      </c>
      <c r="N14" s="115">
        <f>SUM(N11:N13)</f>
      </c>
      <c r="O14" s="115">
        <f>SUM(C14:N14)</f>
      </c>
      <c r="P14" s="176">
        <f>O14/O10</f>
      </c>
      <c r="Q14" s="1"/>
      <c r="R14" s="1"/>
      <c r="S14" s="1"/>
      <c r="T14" s="1"/>
    </row>
    <row r="15">
      <c r="A15" s="135"/>
      <c r="B15" s="98" t="str">
        <v>GSV</v>
      </c>
      <c r="C15" s="98">
        <f>C8</f>
      </c>
      <c r="D15" s="98">
        <f>D8</f>
      </c>
      <c r="E15" s="98">
        <f>E8</f>
      </c>
      <c r="F15" s="98">
        <f>F8</f>
      </c>
      <c r="G15" s="98">
        <f>G8</f>
      </c>
      <c r="H15" s="98">
        <f>H8</f>
      </c>
      <c r="I15" s="98">
        <f>I8</f>
      </c>
      <c r="J15" s="98">
        <f>J8</f>
      </c>
      <c r="K15" s="98">
        <f>K8</f>
      </c>
      <c r="L15" s="98">
        <f>L8</f>
      </c>
      <c r="M15" s="98">
        <f>M8</f>
      </c>
      <c r="N15" s="98">
        <f>N8</f>
      </c>
      <c r="O15" s="98">
        <f>SUM(C15:N15)</f>
      </c>
      <c r="P15" s="98"/>
      <c r="Q15" s="1"/>
      <c r="R15" s="1"/>
      <c r="S15" s="1"/>
      <c r="T15" s="1"/>
    </row>
    <row r="16">
      <c r="A16" s="135"/>
      <c r="B16" s="98" t="str">
        <v>营业收入</v>
      </c>
      <c r="C16" s="98">
        <f>+C8/1.13</f>
      </c>
      <c r="D16" s="98">
        <f>+D8/1.13</f>
      </c>
      <c r="E16" s="98">
        <f>+E8/1.13</f>
      </c>
      <c r="F16" s="98">
        <f>+F8/1.13</f>
      </c>
      <c r="G16" s="98">
        <f>+G8/1.13</f>
      </c>
      <c r="H16" s="98">
        <f>+H8/1.13</f>
      </c>
      <c r="I16" s="98">
        <f>+I8/1.13</f>
      </c>
      <c r="J16" s="98">
        <f>+J8/1.13</f>
      </c>
      <c r="K16" s="98">
        <f>+K8/1.13</f>
      </c>
      <c r="L16" s="98">
        <f>+L8/1.13</f>
      </c>
      <c r="M16" s="98">
        <f>+M8/1.13</f>
      </c>
      <c r="N16" s="98">
        <f>+N8/1.13</f>
      </c>
      <c r="O16" s="98">
        <f>SUM(C16:N16)</f>
      </c>
      <c r="P16" s="98"/>
      <c r="Q16" s="1"/>
      <c r="R16" s="1"/>
      <c r="S16" s="1"/>
      <c r="T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>
      <c r="A18" s="1"/>
      <c r="B18" s="85" t="str">
        <v>标准主品配件成本</v>
      </c>
      <c r="C18" s="127">
        <f>C64*C65</f>
      </c>
      <c r="D18" s="127">
        <f>D64*D65</f>
      </c>
      <c r="E18" s="127">
        <f>E64*E65</f>
      </c>
      <c r="F18" s="127">
        <f>F64*F65</f>
      </c>
      <c r="G18" s="127">
        <f>G64*G65</f>
      </c>
      <c r="H18" s="127">
        <f>H64*H65</f>
      </c>
      <c r="I18" s="127">
        <f>I64*I65</f>
      </c>
      <c r="J18" s="127">
        <f>J64*J65</f>
      </c>
      <c r="K18" s="127">
        <f>K64*K65</f>
      </c>
      <c r="L18" s="127">
        <f>L64*L65</f>
      </c>
      <c r="M18" s="127">
        <f>M64*M65</f>
      </c>
      <c r="N18" s="127">
        <f>N64*N65</f>
      </c>
      <c r="O18" s="127">
        <f>SUM(C18:N18)</f>
      </c>
      <c r="P18" s="128">
        <f>O18/O16</f>
      </c>
      <c r="Q18" s="1"/>
      <c r="R18" s="1"/>
      <c r="S18" s="1"/>
      <c r="T18" s="1"/>
    </row>
    <row r="19">
      <c r="A19" s="1"/>
      <c r="B19" s="83" t="str">
        <v>产品毛利</v>
      </c>
      <c r="C19" s="115">
        <f>C16-C18</f>
      </c>
      <c r="D19" s="115">
        <f>D16-D18</f>
      </c>
      <c r="E19" s="115">
        <f>E16-E18</f>
      </c>
      <c r="F19" s="115">
        <f>F16-F18</f>
      </c>
      <c r="G19" s="115">
        <f>G16-G18</f>
      </c>
      <c r="H19" s="115">
        <f>H16-H18</f>
      </c>
      <c r="I19" s="115">
        <f>I16-I18</f>
      </c>
      <c r="J19" s="115">
        <f>J16-J18</f>
      </c>
      <c r="K19" s="115">
        <f>K16-K18</f>
      </c>
      <c r="L19" s="115">
        <f>L16-L18</f>
      </c>
      <c r="M19" s="115">
        <f>M16-M18</f>
      </c>
      <c r="N19" s="115">
        <f>N16-N18</f>
      </c>
      <c r="O19" s="115">
        <f>SUM(C19:N19)</f>
      </c>
      <c r="P19" s="116">
        <f>O19/$O$16</f>
      </c>
      <c r="Q19" s="1"/>
      <c r="R19" s="1"/>
      <c r="S19" s="1"/>
      <c r="T19" s="1"/>
    </row>
    <row r="20">
      <c r="A20" s="118"/>
      <c r="B20" s="90" t="str">
        <v>头程/尾程物流/仓储费用</v>
      </c>
      <c r="C20" s="118">
        <f>C16*2.5%</f>
      </c>
      <c r="D20" s="118">
        <f>D16*2.5%</f>
      </c>
      <c r="E20" s="118">
        <f>E16*2.5%</f>
      </c>
      <c r="F20" s="118">
        <f>F16*2.5%</f>
      </c>
      <c r="G20" s="118">
        <f>G16*2.5%</f>
      </c>
      <c r="H20" s="118">
        <f>H16*2.5%</f>
      </c>
      <c r="I20" s="118">
        <f>I16*2.5%</f>
      </c>
      <c r="J20" s="118">
        <f>J16*2.5%</f>
      </c>
      <c r="K20" s="118">
        <f>K16*2.5%</f>
      </c>
      <c r="L20" s="118">
        <f>L16*2.5%</f>
      </c>
      <c r="M20" s="118">
        <f>M16*2.5%</f>
      </c>
      <c r="N20" s="118">
        <f>N16*2.5%</f>
      </c>
      <c r="O20" s="118">
        <f>SUM(C20:N20)</f>
      </c>
      <c r="P20" s="120">
        <v>0.025</v>
      </c>
      <c r="Q20" s="1"/>
      <c r="R20" s="1"/>
      <c r="S20" s="1"/>
      <c r="T20" s="1"/>
    </row>
    <row r="21">
      <c r="A21" s="1"/>
      <c r="B21" s="83" t="str">
        <v>成本合计（产品+物流）</v>
      </c>
      <c r="C21" s="115">
        <f>SUM(C18,C20)</f>
      </c>
      <c r="D21" s="115">
        <f>SUM(D18,D20)</f>
      </c>
      <c r="E21" s="115">
        <f>SUM(E18,E20)</f>
      </c>
      <c r="F21" s="115">
        <f>SUM(F18,F20)</f>
      </c>
      <c r="G21" s="115">
        <f>SUM(G18,G20)</f>
      </c>
      <c r="H21" s="115">
        <f>SUM(H18,H20)</f>
      </c>
      <c r="I21" s="115">
        <f>SUM(I18,I20)</f>
      </c>
      <c r="J21" s="115">
        <f>SUM(J18,J20)</f>
      </c>
      <c r="K21" s="115">
        <f>SUM(K18,K20)</f>
      </c>
      <c r="L21" s="115">
        <f>SUM(L18,L20)</f>
      </c>
      <c r="M21" s="115">
        <f>SUM(M18,M20)</f>
      </c>
      <c r="N21" s="115">
        <f>SUM(N18,N20)</f>
      </c>
      <c r="O21" s="115">
        <f>SUM(C21:N21)</f>
      </c>
      <c r="P21" s="116">
        <f>O21/$O$16</f>
      </c>
      <c r="Q21" s="1"/>
      <c r="R21" s="1"/>
      <c r="S21" s="1"/>
      <c r="T21" s="1"/>
    </row>
    <row r="22">
      <c r="A22" s="135"/>
      <c r="B22" s="98" t="str">
        <v>净毛利</v>
      </c>
      <c r="C22" s="98">
        <f>C16-C21</f>
      </c>
      <c r="D22" s="98">
        <f>D16-D21</f>
      </c>
      <c r="E22" s="98">
        <f>E16-E21</f>
      </c>
      <c r="F22" s="98">
        <f>F16-F21</f>
      </c>
      <c r="G22" s="98">
        <f>G16-G21</f>
      </c>
      <c r="H22" s="98">
        <f>H16-H21</f>
      </c>
      <c r="I22" s="98">
        <f>I16-I21</f>
      </c>
      <c r="J22" s="98">
        <f>J16-J21</f>
      </c>
      <c r="K22" s="98">
        <f>K16-K21</f>
      </c>
      <c r="L22" s="98">
        <f>L16-L21</f>
      </c>
      <c r="M22" s="98">
        <f>M16-M21</f>
      </c>
      <c r="N22" s="98">
        <f>N16-N21</f>
      </c>
      <c r="O22" s="98">
        <f>SUM(C22:N22)</f>
      </c>
      <c r="P22" s="162">
        <f>O22/$O$16</f>
      </c>
      <c r="Q22" s="1"/>
      <c r="R22" s="1"/>
      <c r="S22" s="1"/>
      <c r="T22" s="1"/>
    </row>
    <row r="23">
      <c r="A23" s="1"/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120"/>
      <c r="Q23" s="1"/>
      <c r="R23" s="1"/>
      <c r="S23" s="1"/>
      <c r="T23" s="1"/>
    </row>
    <row r="24">
      <c r="A24" s="1"/>
      <c r="B24" s="102" t="str">
        <v>合计毛利率</v>
      </c>
      <c r="C24" s="165">
        <f>IFERROR(1-C21/C16,0)</f>
      </c>
      <c r="D24" s="165">
        <f>IFERROR(1-D21/D16,0)</f>
      </c>
      <c r="E24" s="165">
        <f>IFERROR(1-E21/E16,0)</f>
      </c>
      <c r="F24" s="165">
        <f>IFERROR(1-F21/F16,0)</f>
      </c>
      <c r="G24" s="165">
        <f>IFERROR(1-G21/G16,0)</f>
      </c>
      <c r="H24" s="165">
        <f>IFERROR(1-H21/H16,0)</f>
      </c>
      <c r="I24" s="165">
        <f>IFERROR(1-I21/I16,0)</f>
      </c>
      <c r="J24" s="165">
        <f>IFERROR(1-J21/J16,0)</f>
      </c>
      <c r="K24" s="165">
        <f>IFERROR(1-K21/K16,0)</f>
      </c>
      <c r="L24" s="165">
        <f>IFERROR(1-L21/L16,0)</f>
      </c>
      <c r="M24" s="165">
        <f>IFERROR(1-M21/M16,0)</f>
      </c>
      <c r="N24" s="165">
        <f>IFERROR(1-N21/N16,0)</f>
      </c>
      <c r="O24" s="165">
        <f>IFERROR(1-O21/O16,0)</f>
      </c>
      <c r="P24" s="120"/>
      <c r="Q24" s="1"/>
      <c r="R24" s="1"/>
      <c r="S24" s="1"/>
      <c r="T24" s="1"/>
    </row>
    <row r="25">
      <c r="A25" s="1"/>
      <c r="B25" s="1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20"/>
      <c r="Q25" s="1"/>
      <c r="R25" s="1"/>
      <c r="S25" s="1"/>
      <c r="T25" s="1"/>
    </row>
    <row r="26">
      <c r="A26" s="1"/>
      <c r="B26" s="85" t="str">
        <v>品牌及内容费用</v>
      </c>
      <c r="C26" s="127">
        <f>SUM(C27:C31)</f>
      </c>
      <c r="D26" s="127">
        <f>SUM(D27:D31)</f>
      </c>
      <c r="E26" s="127">
        <f>SUM(E27:E31)</f>
      </c>
      <c r="F26" s="127">
        <f>SUM(F27:F31)</f>
      </c>
      <c r="G26" s="127">
        <f>SUM(G27:G31)</f>
      </c>
      <c r="H26" s="127">
        <f>SUM(H27:H31)</f>
      </c>
      <c r="I26" s="127">
        <f>SUM(I27:I31)</f>
      </c>
      <c r="J26" s="127">
        <f>SUM(J27:J31)</f>
      </c>
      <c r="K26" s="127">
        <f>SUM(K27:K31)</f>
      </c>
      <c r="L26" s="127">
        <f>SUM(L27:L31)</f>
      </c>
      <c r="M26" s="127">
        <f>SUM(M27:M31)</f>
      </c>
      <c r="N26" s="127">
        <f>SUM(N27:N31)</f>
      </c>
      <c r="O26" s="127">
        <f>SUM(C26:N26)</f>
      </c>
      <c r="P26" s="128">
        <f>O26/$O$16</f>
      </c>
      <c r="Q26" s="1"/>
      <c r="R26" s="1"/>
      <c r="S26" s="1"/>
      <c r="T26" s="1"/>
    </row>
    <row r="27">
      <c r="A27" s="118"/>
      <c r="B27" s="90" t="str">
        <v>展会</v>
      </c>
      <c r="C27" s="170">
        <v>0</v>
      </c>
      <c r="D27" s="170">
        <v>0</v>
      </c>
      <c r="E27" s="170">
        <v>1004.7371632398731</v>
      </c>
      <c r="F27" s="170">
        <v>824.0763699767512</v>
      </c>
      <c r="G27" s="170">
        <v>1815.4643984090253</v>
      </c>
      <c r="H27" s="170">
        <v>1556.133132376128</v>
      </c>
      <c r="I27" s="170">
        <v>995.543024261444</v>
      </c>
      <c r="J27" s="170">
        <v>1410.2608867867393</v>
      </c>
      <c r="K27" s="170">
        <v>1103.5412805699975</v>
      </c>
      <c r="L27" s="170">
        <v>2019.9122484792151</v>
      </c>
      <c r="M27" s="170">
        <v>1400.5746583472521</v>
      </c>
      <c r="N27" s="170">
        <v>0</v>
      </c>
      <c r="O27" s="118">
        <f>SUM(C27:N27)</f>
      </c>
      <c r="P27" s="120">
        <f>O27/$O$16</f>
      </c>
      <c r="Q27" s="90"/>
      <c r="R27" s="1"/>
      <c r="S27" s="1"/>
      <c r="T27" s="1"/>
    </row>
    <row r="28">
      <c r="A28" s="118"/>
      <c r="B28" s="90" t="str">
        <v>品牌营销</v>
      </c>
      <c r="C28" s="170">
        <v>0</v>
      </c>
      <c r="D28" s="170">
        <v>0</v>
      </c>
      <c r="E28" s="170">
        <v>0</v>
      </c>
      <c r="F28" s="170">
        <v>988.8916439721013</v>
      </c>
      <c r="G28" s="170">
        <v>10892.78639045415</v>
      </c>
      <c r="H28" s="170">
        <v>4979.62602360361</v>
      </c>
      <c r="I28" s="170">
        <v>0</v>
      </c>
      <c r="J28" s="170">
        <v>1692.3130641440873</v>
      </c>
      <c r="K28" s="170">
        <v>3531.332097823992</v>
      </c>
      <c r="L28" s="170">
        <v>2423.8946981750582</v>
      </c>
      <c r="M28" s="170">
        <v>1680.6895900167026</v>
      </c>
      <c r="N28" s="170">
        <v>0</v>
      </c>
      <c r="O28" s="118">
        <f>SUM(C28:N28)</f>
      </c>
      <c r="P28" s="120">
        <f>O28/$O$16</f>
      </c>
      <c r="Q28" s="90"/>
      <c r="R28" s="1"/>
      <c r="S28" s="1"/>
      <c r="T28" s="1"/>
    </row>
    <row r="29">
      <c r="A29" s="118"/>
      <c r="B29" s="90" t="str">
        <v>内容素材制作</v>
      </c>
      <c r="C29" s="170">
        <v>483.9767463663141</v>
      </c>
      <c r="D29" s="170">
        <v>392.2646401526155</v>
      </c>
      <c r="E29" s="170">
        <v>401.8948652959492</v>
      </c>
      <c r="F29" s="170">
        <v>1648.1527399535023</v>
      </c>
      <c r="G29" s="170">
        <v>10892.78639045415</v>
      </c>
      <c r="H29" s="170">
        <v>6846.985782454964</v>
      </c>
      <c r="I29" s="170">
        <v>0</v>
      </c>
      <c r="J29" s="170">
        <v>1692.3130641440873</v>
      </c>
      <c r="K29" s="170">
        <v>3531.332097823992</v>
      </c>
      <c r="L29" s="170">
        <v>4039.8244969584302</v>
      </c>
      <c r="M29" s="170">
        <v>2801.1493166945043</v>
      </c>
      <c r="N29" s="170">
        <v>488.3927946740084</v>
      </c>
      <c r="O29" s="118">
        <f>SUM(C29:N29)</f>
      </c>
      <c r="P29" s="120">
        <f>O29/$O$16</f>
      </c>
      <c r="Q29" s="1"/>
      <c r="R29" s="1"/>
      <c r="S29" s="1"/>
      <c r="T29" s="1"/>
    </row>
    <row r="30">
      <c r="A30" s="118"/>
      <c r="B30" s="90" t="str">
        <v>公关费用</v>
      </c>
      <c r="C30" s="170">
        <v>483.9767463663141</v>
      </c>
      <c r="D30" s="170">
        <v>392.2646401526155</v>
      </c>
      <c r="E30" s="170">
        <v>3215.1589223675937</v>
      </c>
      <c r="F30" s="170">
        <v>329.63054799070045</v>
      </c>
      <c r="G30" s="170">
        <v>2178.55727809083</v>
      </c>
      <c r="H30" s="170">
        <v>622.4532529504512</v>
      </c>
      <c r="I30" s="170">
        <v>398.2172097045776</v>
      </c>
      <c r="J30" s="170">
        <v>564.1043547146959</v>
      </c>
      <c r="K30" s="170">
        <v>441.416512227999</v>
      </c>
      <c r="L30" s="170">
        <v>1615.9297987833722</v>
      </c>
      <c r="M30" s="170">
        <v>1120.4597266778019</v>
      </c>
      <c r="N30" s="170">
        <v>488.3927946740084</v>
      </c>
      <c r="O30" s="118">
        <f>SUM(C30:N30)</f>
      </c>
      <c r="P30" s="120">
        <f>O30/$O$16</f>
      </c>
      <c r="Q30" s="1"/>
      <c r="R30" s="1"/>
      <c r="S30" s="1"/>
      <c r="T30" s="1"/>
    </row>
    <row collapsed="true" r="31">
      <c r="A31" s="118"/>
      <c r="B31" s="90" t="str">
        <v>达人种草、样机及加热</v>
      </c>
      <c r="C31" s="170">
        <v>4839.767463663142</v>
      </c>
      <c r="D31" s="170">
        <v>19613.23200763078</v>
      </c>
      <c r="E31" s="170">
        <v>32151.58922367594</v>
      </c>
      <c r="F31" s="170">
        <v>16481.52739953502</v>
      </c>
      <c r="G31" s="170">
        <v>65356.71834272491</v>
      </c>
      <c r="H31" s="170">
        <v>37347.19517702707</v>
      </c>
      <c r="I31" s="170">
        <v>7964.344194091552</v>
      </c>
      <c r="J31" s="170">
        <v>11282.087094293915</v>
      </c>
      <c r="K31" s="170">
        <v>4414.16512227999</v>
      </c>
      <c r="L31" s="170">
        <v>40398.2449695843</v>
      </c>
      <c r="M31" s="170">
        <v>11204.597266778017</v>
      </c>
      <c r="N31" s="170">
        <v>9767.85589348017</v>
      </c>
      <c r="O31" s="118">
        <f>SUM(C31:N31)</f>
      </c>
      <c r="P31" s="120">
        <f>O31/$O$16</f>
      </c>
      <c r="Q31" s="1"/>
      <c r="R31" s="1"/>
      <c r="S31" s="1"/>
      <c r="T31" s="1"/>
    </row>
    <row hidden="true" outlineLevel="1" r="32">
      <c r="A32" s="118"/>
      <c r="B32" s="90" t="str">
        <v>展会(费率)</v>
      </c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20"/>
      <c r="Q32" s="1"/>
      <c r="R32" s="1"/>
      <c r="S32" s="1"/>
      <c r="T32" s="1"/>
    </row>
    <row hidden="true" outlineLevel="1" r="33">
      <c r="A33" s="118"/>
      <c r="B33" s="90" t="str">
        <v>品牌营销（费率）</v>
      </c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20"/>
      <c r="Q33" s="1"/>
      <c r="R33" s="1"/>
      <c r="S33" s="1"/>
      <c r="T33" s="1"/>
    </row>
    <row hidden="true" outlineLevel="1" r="34">
      <c r="A34" s="118"/>
      <c r="B34" s="90" t="str">
        <v>内容素材制作（费率）</v>
      </c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20"/>
      <c r="Q34" s="1"/>
      <c r="R34" s="1"/>
      <c r="S34" s="1"/>
      <c r="T34" s="1"/>
    </row>
    <row hidden="true" outlineLevel="1" r="35">
      <c r="A35" s="118"/>
      <c r="B35" s="90" t="str">
        <v>公关费用（费率）</v>
      </c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20"/>
      <c r="Q35" s="1"/>
      <c r="R35" s="1"/>
      <c r="S35" s="1"/>
      <c r="T35" s="1"/>
    </row>
    <row hidden="true" outlineLevel="1" r="36">
      <c r="A36" s="118"/>
      <c r="B36" s="90" t="str">
        <v>达人种草、样机及加热（费率）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18"/>
      <c r="P36" s="120"/>
      <c r="Q36" s="1"/>
      <c r="R36" s="1"/>
      <c r="S36" s="1"/>
      <c r="T36" s="1"/>
    </row>
    <row r="37">
      <c r="A37" s="1"/>
      <c r="B37" s="85" t="str">
        <v>效果广告</v>
      </c>
      <c r="C37" s="127">
        <f>SUM(C38:C40)</f>
      </c>
      <c r="D37" s="127">
        <f>SUM(D38:D40)</f>
      </c>
      <c r="E37" s="127">
        <f>SUM(E38:E40)</f>
      </c>
      <c r="F37" s="127">
        <f>SUM(F38:F40)</f>
      </c>
      <c r="G37" s="127">
        <f>SUM(G38:G40)</f>
      </c>
      <c r="H37" s="127">
        <f>SUM(H38:H40)</f>
      </c>
      <c r="I37" s="127">
        <f>SUM(I38:I40)</f>
      </c>
      <c r="J37" s="127">
        <f>SUM(J38:J40)</f>
      </c>
      <c r="K37" s="127">
        <f>SUM(K38:K40)</f>
      </c>
      <c r="L37" s="127">
        <f>SUM(L38:L40)</f>
      </c>
      <c r="M37" s="127">
        <f>SUM(M38:M40)</f>
      </c>
      <c r="N37" s="127">
        <f>SUM(N38:N40)</f>
      </c>
      <c r="O37" s="127">
        <f>SUM(C37:N37)</f>
      </c>
      <c r="P37" s="128">
        <f>O37/$O$16</f>
      </c>
      <c r="Q37" s="1"/>
      <c r="R37" s="1"/>
      <c r="S37" s="1"/>
      <c r="T37" s="1"/>
    </row>
    <row r="38">
      <c r="A38" s="118"/>
      <c r="B38" s="90" t="str">
        <v>站内投放</v>
      </c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18">
        <f>SUM(C38:N38)</f>
      </c>
      <c r="P38" s="120">
        <f>O38/$O$16</f>
      </c>
      <c r="Q38" s="1" t="str">
        <v>投放填写</v>
      </c>
      <c r="R38" s="1"/>
      <c r="S38" s="1"/>
      <c r="T38" s="1"/>
    </row>
    <row r="39">
      <c r="A39" s="118"/>
      <c r="B39" s="90" t="str">
        <v>千川投放</v>
      </c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18">
        <f>SUM(C39:N39)</f>
      </c>
      <c r="P39" s="120">
        <f>O39/$O$16</f>
      </c>
      <c r="Q39" s="1" t="str">
        <v>投放填写</v>
      </c>
      <c r="R39" s="1"/>
      <c r="S39" s="1"/>
      <c r="T39" s="1"/>
    </row>
    <row collapsed="true" r="40">
      <c r="A40" s="118"/>
      <c r="B40" s="90" t="str">
        <v>站外投放</v>
      </c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18">
        <f>SUM(C40:N40)</f>
      </c>
      <c r="P40" s="120">
        <f>O40/$O$16</f>
      </c>
      <c r="Q40" s="1" t="str">
        <v>投放填写</v>
      </c>
      <c r="R40" s="1"/>
      <c r="S40" s="1"/>
      <c r="T40" s="1"/>
    </row>
    <row hidden="true" outlineLevel="1" r="41">
      <c r="A41" s="118"/>
      <c r="B41" s="90" t="str">
        <v>站内投放（费率）</v>
      </c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20">
        <f>O38/$O$16</f>
      </c>
      <c r="P41" s="1"/>
      <c r="Q41" s="1" t="str">
        <v>投放填写</v>
      </c>
      <c r="R41" s="1"/>
      <c r="S41" s="1"/>
      <c r="T41" s="1"/>
    </row>
    <row hidden="true" outlineLevel="1" r="42">
      <c r="A42" s="118"/>
      <c r="B42" s="90" t="str">
        <v>千川投放（费率）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20">
        <f>O39/$O$16</f>
      </c>
      <c r="P42" s="1"/>
      <c r="Q42" s="1" t="str">
        <v>投放填写</v>
      </c>
      <c r="R42" s="1"/>
      <c r="S42" s="1"/>
      <c r="T42" s="1"/>
    </row>
    <row hidden="true" outlineLevel="1" r="43">
      <c r="A43" s="118"/>
      <c r="B43" s="90" t="str">
        <v>站外投放（费率）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20">
        <f>O40/$O$16</f>
      </c>
      <c r="P43" s="1"/>
      <c r="Q43" s="1" t="str">
        <v>投放填写</v>
      </c>
      <c r="R43" s="1"/>
      <c r="S43" s="1"/>
      <c r="T43" s="1"/>
    </row>
    <row r="44">
      <c r="A44" s="1"/>
      <c r="B44" s="85" t="str">
        <v>线上营销费用</v>
      </c>
      <c r="C44" s="127">
        <f>SUM(C45:C46)</f>
      </c>
      <c r="D44" s="127">
        <f>SUM(D45:D46)</f>
      </c>
      <c r="E44" s="127">
        <f>SUM(E45:E46)</f>
      </c>
      <c r="F44" s="127">
        <f>SUM(F45:F46)</f>
      </c>
      <c r="G44" s="127">
        <f>SUM(G45:G46)</f>
      </c>
      <c r="H44" s="127">
        <f>SUM(H45:H46)</f>
      </c>
      <c r="I44" s="127">
        <f>SUM(I45:I46)</f>
      </c>
      <c r="J44" s="127">
        <f>SUM(J45:J46)</f>
      </c>
      <c r="K44" s="127">
        <f>SUM(K45:K46)</f>
      </c>
      <c r="L44" s="127">
        <f>SUM(L45:L46)</f>
      </c>
      <c r="M44" s="127">
        <f>SUM(M45:M46)</f>
      </c>
      <c r="N44" s="127">
        <f>SUM(N45:N46)</f>
      </c>
      <c r="O44" s="127">
        <f>SUM(C44:N44)</f>
      </c>
      <c r="P44" s="128">
        <f>O44/$O$16</f>
      </c>
      <c r="Q44" s="1"/>
      <c r="R44" s="1"/>
      <c r="S44" s="1"/>
      <c r="T44" s="1"/>
    </row>
    <row r="45">
      <c r="A45" s="118"/>
      <c r="B45" s="90" t="str">
        <v>直播费用</v>
      </c>
      <c r="C45" s="170">
        <f>(C4*20%+C4*5%)/1.06</f>
      </c>
      <c r="D45" s="170">
        <f>(D4*20%+D4*5%)/1.06</f>
      </c>
      <c r="E45" s="170">
        <f>(E4*20%+E4*5%)/1.06</f>
      </c>
      <c r="F45" s="170">
        <f>(F4*20%+F4*5%)/1.06</f>
      </c>
      <c r="G45" s="170">
        <f>(G4*20%+G4*5%)/1.06</f>
      </c>
      <c r="H45" s="170">
        <f>(H4*20%+H4*5%)/1.06</f>
      </c>
      <c r="I45" s="170">
        <f>(I4*20%+I4*5%)/1.06</f>
      </c>
      <c r="J45" s="170">
        <f>(J4*20%+J4*5%)/1.06</f>
      </c>
      <c r="K45" s="170">
        <f>(K4*20%+K4*5%)/1.06</f>
      </c>
      <c r="L45" s="170">
        <f>(L4*20%+L4*5%)/1.06</f>
      </c>
      <c r="M45" s="170">
        <f>(M4*20%+M4*5%)/1.06</f>
      </c>
      <c r="N45" s="170">
        <f>(N4*20%+N4*5%)/1.06</f>
      </c>
      <c r="O45" s="118">
        <f>SUM(C45:N45)</f>
      </c>
      <c r="P45" s="120">
        <v>0.01</v>
      </c>
      <c r="Q45" s="1" t="str">
        <v>达人填写</v>
      </c>
      <c r="R45" s="1"/>
      <c r="S45" s="1"/>
      <c r="T45" s="1"/>
    </row>
    <row r="46">
      <c r="A46" s="118"/>
      <c r="B46" s="90" t="str">
        <v>赠品费用</v>
      </c>
      <c r="C46" s="170">
        <f>C4*3%</f>
      </c>
      <c r="D46" s="170">
        <f>D4*3%</f>
      </c>
      <c r="E46" s="170">
        <f>E4*3%</f>
      </c>
      <c r="F46" s="170">
        <f>F4*3%</f>
      </c>
      <c r="G46" s="170">
        <f>G4*3%</f>
      </c>
      <c r="H46" s="170">
        <f>H4*3%</f>
      </c>
      <c r="I46" s="170">
        <f>I4*3%</f>
      </c>
      <c r="J46" s="170">
        <f>J4*3%</f>
      </c>
      <c r="K46" s="170">
        <f>K4*3%</f>
      </c>
      <c r="L46" s="170">
        <f>L4*3%</f>
      </c>
      <c r="M46" s="170">
        <f>M4*3%</f>
      </c>
      <c r="N46" s="170">
        <f>N4*3%</f>
      </c>
      <c r="O46" s="118">
        <f>SUM(C46:N46)</f>
      </c>
      <c r="P46" s="120">
        <v>0.02</v>
      </c>
      <c r="Q46" s="90" t="str">
        <v>渠道填写</v>
      </c>
      <c r="R46" s="1"/>
      <c r="S46" s="1"/>
      <c r="T46" s="1"/>
    </row>
    <row r="47">
      <c r="A47" s="1"/>
      <c r="B47" s="85" t="str">
        <v>线下市场费用</v>
      </c>
      <c r="C47" s="127">
        <f>SUM(C48:C51)</f>
      </c>
      <c r="D47" s="127">
        <f>SUM(D48:D51)</f>
      </c>
      <c r="E47" s="127">
        <f>SUM(E48:E51)</f>
      </c>
      <c r="F47" s="127">
        <f>SUM(F48:F51)</f>
      </c>
      <c r="G47" s="127">
        <f>SUM(G48:G51)</f>
      </c>
      <c r="H47" s="127">
        <f>SUM(H48:H51)</f>
      </c>
      <c r="I47" s="127">
        <f>SUM(I48:I51)</f>
      </c>
      <c r="J47" s="127">
        <f>SUM(J48:J51)</f>
      </c>
      <c r="K47" s="127">
        <f>SUM(K48:K51)</f>
      </c>
      <c r="L47" s="127">
        <f>SUM(L48:L51)</f>
      </c>
      <c r="M47" s="127">
        <f>SUM(M48:M51)</f>
      </c>
      <c r="N47" s="127">
        <f>SUM(N48:N51)</f>
      </c>
      <c r="O47" s="127">
        <f>SUM(C47:N47)</f>
      </c>
      <c r="P47" s="128">
        <f>O47/$O$16</f>
      </c>
      <c r="Q47" s="1"/>
      <c r="R47" s="1"/>
      <c r="S47" s="1"/>
      <c r="T47" s="1"/>
    </row>
    <row r="48">
      <c r="A48" s="118"/>
      <c r="B48" s="90" t="str">
        <v>线下渠道展陈、促销费用</v>
      </c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18">
        <f>SUM(C48:N48)</f>
      </c>
      <c r="P48" s="120">
        <f>O48/$O$16</f>
      </c>
      <c r="Q48" s="90" t="str">
        <v>线下门店</v>
      </c>
      <c r="R48" s="1"/>
      <c r="S48" s="1"/>
      <c r="T48" s="1"/>
    </row>
    <row r="49">
      <c r="A49" s="118"/>
      <c r="B49" s="90" t="str">
        <v>租金+物业+水电</v>
      </c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18">
        <f>SUM(C49:N49)</f>
      </c>
      <c r="P49" s="120">
        <f>O49/$O$16</f>
      </c>
      <c r="Q49" s="90" t="str">
        <v>线下门店</v>
      </c>
      <c r="R49" s="1"/>
      <c r="S49" s="1"/>
      <c r="T49" s="1"/>
    </row>
    <row r="50">
      <c r="A50" s="118"/>
      <c r="B50" s="90" t="str">
        <v>门店人工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18">
        <f>SUM(C50:N50)</f>
      </c>
      <c r="P50" s="120">
        <f>O50/$O$16</f>
      </c>
      <c r="Q50" s="90" t="str">
        <v>线下门店</v>
      </c>
      <c r="R50" s="1"/>
      <c r="S50" s="1"/>
      <c r="T50" s="1"/>
    </row>
    <row r="51">
      <c r="A51" s="1"/>
      <c r="B51" s="90" t="str">
        <v>门店展陈装修等其他</v>
      </c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18">
        <f>SUM(C51:N51)</f>
      </c>
      <c r="P51" s="120">
        <f>O51/$O$16</f>
      </c>
      <c r="Q51" s="90" t="str">
        <v>线下门店</v>
      </c>
      <c r="R51" s="1"/>
      <c r="S51" s="1"/>
      <c r="T51" s="1"/>
    </row>
    <row r="52">
      <c r="A52" s="1"/>
      <c r="B52" s="83" t="str">
        <v>市场投入费用</v>
      </c>
      <c r="C52" s="115">
        <f>SUM(C26,C37,C44,C47)</f>
      </c>
      <c r="D52" s="115">
        <f>SUM(D26,D37,D44,D47)</f>
      </c>
      <c r="E52" s="115">
        <f>SUM(E26,E37,E44,E47)</f>
      </c>
      <c r="F52" s="115">
        <f>SUM(F26,F37,F44,F47)</f>
      </c>
      <c r="G52" s="115">
        <f>SUM(G26,G37,G44,G47)</f>
      </c>
      <c r="H52" s="115">
        <f>SUM(H26,H37,H44,H47)</f>
      </c>
      <c r="I52" s="115">
        <f>SUM(I26,I37,I44,I47)</f>
      </c>
      <c r="J52" s="115">
        <f>SUM(J26,J37,J44,J47)</f>
      </c>
      <c r="K52" s="115">
        <f>SUM(K26,K37,K44,K47)</f>
      </c>
      <c r="L52" s="115">
        <f>SUM(L26,L37,L44,L47)</f>
      </c>
      <c r="M52" s="115">
        <f>SUM(M26,M37,M44,M47)</f>
      </c>
      <c r="N52" s="115">
        <f>SUM(N26,N37,N44,N47)</f>
      </c>
      <c r="O52" s="115">
        <f>SUM(C52:N52)</f>
      </c>
      <c r="P52" s="116">
        <f>O52/$O$16</f>
      </c>
      <c r="Q52" s="1"/>
      <c r="R52" s="1"/>
      <c r="S52" s="1"/>
      <c r="T52" s="1"/>
    </row>
    <row r="53">
      <c r="A53" s="118"/>
      <c r="B53" s="90" t="str">
        <v>平台佣金</v>
      </c>
      <c r="C53" s="170">
        <f>C16*$P$53</f>
      </c>
      <c r="D53" s="170">
        <f>D16*$P$53</f>
      </c>
      <c r="E53" s="170">
        <f>E16*$P$53</f>
      </c>
      <c r="F53" s="170">
        <f>F16*$P$53</f>
      </c>
      <c r="G53" s="170">
        <f>G16*$P$53</f>
      </c>
      <c r="H53" s="170">
        <f>H16*$P$53</f>
      </c>
      <c r="I53" s="170">
        <f>I16*$P$53</f>
      </c>
      <c r="J53" s="170">
        <f>J16*$P$53</f>
      </c>
      <c r="K53" s="170">
        <f>K16*$P$53</f>
      </c>
      <c r="L53" s="170">
        <f>L16*$P$53</f>
      </c>
      <c r="M53" s="170">
        <f>M16*$P$53</f>
      </c>
      <c r="N53" s="170">
        <f>N16*$P$53</f>
      </c>
      <c r="O53" s="118">
        <f>SUM(C53:N53)</f>
      </c>
      <c r="P53" s="120">
        <v>0.03</v>
      </c>
      <c r="Q53" s="54">
        <f>O53/O16</f>
      </c>
      <c r="R53" s="1"/>
      <c r="S53" s="1"/>
      <c r="T53" s="1"/>
    </row>
    <row r="54">
      <c r="A54" s="118"/>
      <c r="B54" s="90" t="str">
        <v>平台其他费用</v>
      </c>
      <c r="C54" s="170">
        <f>C16*$P$54</f>
      </c>
      <c r="D54" s="170">
        <f>D16*$P$54</f>
      </c>
      <c r="E54" s="170">
        <f>E16*$P$54</f>
      </c>
      <c r="F54" s="170">
        <f>F16*$P$54</f>
      </c>
      <c r="G54" s="170">
        <f>G16*$P$54</f>
      </c>
      <c r="H54" s="170">
        <f>H16*$P$54</f>
      </c>
      <c r="I54" s="170">
        <f>I16*$P$54</f>
      </c>
      <c r="J54" s="170">
        <f>J16*$P$54</f>
      </c>
      <c r="K54" s="170">
        <f>K16*$P$54</f>
      </c>
      <c r="L54" s="170">
        <f>L16*$P$54</f>
      </c>
      <c r="M54" s="170">
        <f>M16*$P$54</f>
      </c>
      <c r="N54" s="170">
        <f>N16*$P$54</f>
      </c>
      <c r="O54" s="118">
        <f>SUM(C54:N54)</f>
      </c>
      <c r="P54" s="120">
        <v>0.014</v>
      </c>
      <c r="Q54" s="54">
        <f>O54/O16</f>
      </c>
      <c r="R54" s="1"/>
      <c r="S54" s="1"/>
      <c r="T54" s="1"/>
    </row>
    <row r="55">
      <c r="A55" s="118"/>
      <c r="B55" s="90" t="str">
        <v>售后费用</v>
      </c>
      <c r="C55" s="170">
        <v>31729.532438192484</v>
      </c>
      <c r="D55" s="170">
        <v>20748.299186770997</v>
      </c>
      <c r="E55" s="170">
        <v>16183.511793043903</v>
      </c>
      <c r="F55" s="170">
        <v>24905.50608802806</v>
      </c>
      <c r="G55" s="170">
        <v>21388.77852749694</v>
      </c>
      <c r="H55" s="170">
        <v>14984.315473213775</v>
      </c>
      <c r="I55" s="170">
        <v>20877.302023996435</v>
      </c>
      <c r="J55" s="170">
        <v>16151.782891279574</v>
      </c>
      <c r="K55" s="170">
        <v>22256.135282684423</v>
      </c>
      <c r="L55" s="170">
        <v>17567.360410553134</v>
      </c>
      <c r="M55" s="170">
        <v>15386.955687084439</v>
      </c>
      <c r="N55" s="170">
        <v>15012.695797082484</v>
      </c>
      <c r="O55" s="118">
        <f>SUM(C55:N55)</f>
      </c>
      <c r="P55" s="120">
        <v>0.03</v>
      </c>
      <c r="Q55" s="54"/>
      <c r="R55" s="1"/>
      <c r="S55" s="1"/>
      <c r="T55" s="1"/>
    </row>
    <row r="56">
      <c r="A56" s="118"/>
      <c r="B56" s="90" t="str">
        <v>短信及店铺软件</v>
      </c>
      <c r="C56" s="170">
        <f>C16*$P$56</f>
      </c>
      <c r="D56" s="170">
        <f>D16*$P$56</f>
      </c>
      <c r="E56" s="170">
        <f>E16*$P$56</f>
      </c>
      <c r="F56" s="170">
        <f>F16*$P$56</f>
      </c>
      <c r="G56" s="170">
        <f>G16*$P$56</f>
      </c>
      <c r="H56" s="170">
        <f>H16*$P$56</f>
      </c>
      <c r="I56" s="170">
        <f>I16*$P$56</f>
      </c>
      <c r="J56" s="170">
        <f>J16*$P$56</f>
      </c>
      <c r="K56" s="170">
        <f>K16*$P$56</f>
      </c>
      <c r="L56" s="170">
        <f>L16*$P$56</f>
      </c>
      <c r="M56" s="170">
        <f>M16*$P$56</f>
      </c>
      <c r="N56" s="170">
        <f>N16*$P$56</f>
      </c>
      <c r="O56" s="118">
        <f>SUM(C56:N56)</f>
      </c>
      <c r="P56" s="120">
        <v>0.001</v>
      </c>
      <c r="Q56" s="1"/>
      <c r="R56" s="1"/>
      <c r="S56" s="1"/>
      <c r="T56" s="1"/>
    </row>
    <row r="57">
      <c r="A57" s="118"/>
      <c r="B57" s="90" t="str">
        <v>其他运营费用（咨询调研等）</v>
      </c>
      <c r="C57" s="170">
        <v>3764.026702077362</v>
      </c>
      <c r="D57" s="170"/>
      <c r="E57" s="170"/>
      <c r="F57" s="170"/>
      <c r="G57" s="170">
        <v>1505.6106808309448</v>
      </c>
      <c r="H57" s="170"/>
      <c r="I57" s="170"/>
      <c r="J57" s="170"/>
      <c r="K57" s="170"/>
      <c r="L57" s="170">
        <v>1505.6106808309448</v>
      </c>
      <c r="M57" s="170"/>
      <c r="N57" s="170">
        <v>4516.832042492834</v>
      </c>
      <c r="O57" s="118">
        <f>SUM(C57:N57)</f>
      </c>
      <c r="P57" s="120">
        <f>O57/$O$16</f>
      </c>
      <c r="Q57" s="90"/>
      <c r="R57" s="1"/>
      <c r="S57" s="1"/>
      <c r="T57" s="1"/>
    </row>
    <row r="58">
      <c r="A58" s="1"/>
      <c r="B58" s="83" t="str">
        <v>店铺运营费用</v>
      </c>
      <c r="C58" s="115">
        <f>SUM(C53:C57)</f>
      </c>
      <c r="D58" s="115">
        <f>SUM(D53:D57)</f>
      </c>
      <c r="E58" s="115">
        <f>SUM(E53:E57)</f>
      </c>
      <c r="F58" s="115">
        <f>SUM(F53:F57)</f>
      </c>
      <c r="G58" s="115">
        <f>SUM(G53:G57)</f>
      </c>
      <c r="H58" s="115">
        <f>SUM(H53:H57)</f>
      </c>
      <c r="I58" s="115">
        <f>SUM(I53:I57)</f>
      </c>
      <c r="J58" s="115">
        <f>SUM(J53:J57)</f>
      </c>
      <c r="K58" s="115">
        <f>SUM(K53:K57)</f>
      </c>
      <c r="L58" s="115">
        <f>SUM(L53:L57)</f>
      </c>
      <c r="M58" s="115">
        <f>SUM(M53:M57)</f>
      </c>
      <c r="N58" s="115">
        <f>SUM(N53:N57)</f>
      </c>
      <c r="O58" s="115">
        <f>SUM(C58:N58)</f>
      </c>
      <c r="P58" s="116">
        <f>O58/$O$16</f>
      </c>
      <c r="Q58" s="1"/>
      <c r="R58" s="1"/>
      <c r="S58" s="1"/>
      <c r="T58" s="1"/>
    </row>
    <row r="59">
      <c r="A59" s="135"/>
      <c r="B59" s="98" t="str">
        <v>A&amp;P 合计数</v>
      </c>
      <c r="C59" s="98">
        <f>SUM(C52,C58)</f>
      </c>
      <c r="D59" s="98">
        <f>SUM(D52,D58)</f>
      </c>
      <c r="E59" s="98">
        <f>SUM(E52,E58)</f>
      </c>
      <c r="F59" s="98">
        <f>SUM(F52,F58)</f>
      </c>
      <c r="G59" s="98">
        <f>SUM(G52,G58)</f>
      </c>
      <c r="H59" s="98">
        <f>SUM(H52,H58)</f>
      </c>
      <c r="I59" s="98">
        <f>SUM(I52,I58)</f>
      </c>
      <c r="J59" s="98">
        <f>SUM(J52,J58)</f>
      </c>
      <c r="K59" s="98">
        <f>SUM(K52,K58)</f>
      </c>
      <c r="L59" s="98">
        <f>SUM(L52,L58)</f>
      </c>
      <c r="M59" s="98">
        <f>SUM(M52,M58)</f>
      </c>
      <c r="N59" s="98">
        <f>SUM(N52,N58)</f>
      </c>
      <c r="O59" s="98">
        <f>SUM(C59:N59)</f>
      </c>
      <c r="P59" s="162">
        <f>O59/$O$16</f>
      </c>
      <c r="Q59" s="135"/>
      <c r="R59" s="175"/>
      <c r="S59" s="1"/>
      <c r="T59" s="1"/>
    </row>
    <row r="60">
      <c r="A60" s="135"/>
      <c r="B60" s="98" t="str">
        <v>店铺利润</v>
      </c>
      <c r="C60" s="98">
        <f>C22-C59</f>
      </c>
      <c r="D60" s="98">
        <f>D22-D59</f>
      </c>
      <c r="E60" s="98">
        <f>E22-E59</f>
      </c>
      <c r="F60" s="98">
        <f>F22-F59</f>
      </c>
      <c r="G60" s="98">
        <f>G22-G59</f>
      </c>
      <c r="H60" s="98">
        <f>H22-H59</f>
      </c>
      <c r="I60" s="98">
        <f>I22-I59</f>
      </c>
      <c r="J60" s="98">
        <f>J22-J59</f>
      </c>
      <c r="K60" s="98">
        <f>K22-K59</f>
      </c>
      <c r="L60" s="98">
        <f>L22-L59</f>
      </c>
      <c r="M60" s="98">
        <f>M22-M59</f>
      </c>
      <c r="N60" s="98">
        <f>N22-N59</f>
      </c>
      <c r="O60" s="98">
        <f>SUM(C60:N60)</f>
      </c>
      <c r="P60" s="162">
        <f>O60/$O$16</f>
      </c>
      <c r="Q60" s="135"/>
      <c r="R60" s="182"/>
      <c r="S60" s="1"/>
      <c r="T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>
      <c r="A62" s="1"/>
      <c r="B62" s="179" t="str">
        <v>辅助计算</v>
      </c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58"/>
      <c r="P62" s="1"/>
      <c r="Q62" s="1"/>
      <c r="R62" s="1"/>
      <c r="S62" s="1"/>
      <c r="T62" s="1"/>
    </row>
    <row r="63">
      <c r="A63" s="1"/>
      <c r="B63" s="181" t="str">
        <v>国补后价格(销量加权)</v>
      </c>
      <c r="C63" s="181">
        <v>366.6</v>
      </c>
      <c r="D63" s="181">
        <v>362.6</v>
      </c>
      <c r="E63" s="181">
        <v>362.8</v>
      </c>
      <c r="F63" s="181">
        <v>357</v>
      </c>
      <c r="G63" s="181">
        <v>376.4</v>
      </c>
      <c r="H63" s="181">
        <v>376.1</v>
      </c>
      <c r="I63" s="181">
        <v>401.9</v>
      </c>
      <c r="J63" s="181">
        <v>400.9</v>
      </c>
      <c r="K63" s="181">
        <v>401.8</v>
      </c>
      <c r="L63" s="181">
        <v>398.6</v>
      </c>
      <c r="M63" s="181">
        <v>397.7</v>
      </c>
      <c r="N63" s="181">
        <v>392.4</v>
      </c>
      <c r="O63" s="1"/>
      <c r="P63" s="1"/>
      <c r="Q63" s="1"/>
      <c r="R63" s="1"/>
      <c r="S63" s="1"/>
      <c r="T63" s="1"/>
    </row>
    <row r="64">
      <c r="A64" s="1"/>
      <c r="B64" s="181" t="str">
        <v>成本不含税（销量加权）</v>
      </c>
      <c r="C64" s="181">
        <v>158.8</v>
      </c>
      <c r="D64" s="181">
        <v>156.4</v>
      </c>
      <c r="E64" s="181">
        <v>165.1</v>
      </c>
      <c r="F64" s="181">
        <v>162.9</v>
      </c>
      <c r="G64" s="181">
        <v>153</v>
      </c>
      <c r="H64" s="181">
        <v>155.3</v>
      </c>
      <c r="I64" s="181">
        <v>153.3</v>
      </c>
      <c r="J64" s="181">
        <v>152.5</v>
      </c>
      <c r="K64" s="181">
        <v>150.2</v>
      </c>
      <c r="L64" s="181">
        <v>146.6</v>
      </c>
      <c r="M64" s="181">
        <v>142.9</v>
      </c>
      <c r="N64" s="181">
        <v>139.6</v>
      </c>
      <c r="O64" s="1"/>
      <c r="P64" s="1"/>
      <c r="Q64" s="1"/>
      <c r="R64" s="1"/>
      <c r="S64" s="1"/>
      <c r="T64" s="1"/>
    </row>
    <row r="65">
      <c r="A65" s="1"/>
      <c r="B65" s="179" t="str">
        <v>退后销量</v>
      </c>
      <c r="C65" s="178">
        <f>C8/C63</f>
      </c>
      <c r="D65" s="178">
        <f>D8/D63</f>
      </c>
      <c r="E65" s="178">
        <f>E8/E63</f>
      </c>
      <c r="F65" s="178">
        <f>F8/F63</f>
      </c>
      <c r="G65" s="178">
        <f>G8/G63</f>
      </c>
      <c r="H65" s="178">
        <f>H8/H63</f>
      </c>
      <c r="I65" s="178">
        <f>I8/I63</f>
      </c>
      <c r="J65" s="178">
        <f>J8/J63</f>
      </c>
      <c r="K65" s="178">
        <f>K8/K63</f>
      </c>
      <c r="L65" s="178">
        <f>L8/L63</f>
      </c>
      <c r="M65" s="178">
        <f>M8/M63</f>
      </c>
      <c r="N65" s="178">
        <f>N8/N63</f>
      </c>
      <c r="O65" s="1"/>
      <c r="P65" s="1"/>
      <c r="Q65" s="1"/>
      <c r="R65" s="1"/>
      <c r="S65" s="1"/>
      <c r="T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>
      <c r="A78" s="1"/>
      <c r="B78" s="1"/>
      <c r="C78" s="158">
        <f>C16-C18-C20-C26-C37-C44-C47-C58-C60</f>
      </c>
      <c r="D78" s="158">
        <f>D16-D18-D20-D26-D37-D44-D47-D58-D60</f>
      </c>
      <c r="E78" s="158">
        <f>E16-E18-E20-E26-E37-E44-E47-E58-E60</f>
      </c>
      <c r="F78" s="158">
        <f>F16-F18-F20-F26-F37-F44-F47-F58-F60</f>
      </c>
      <c r="G78" s="158">
        <f>G16-G18-G20-G26-G37-G44-G47-G58-G60</f>
      </c>
      <c r="H78" s="158">
        <f>H16-H18-H20-H26-H37-H44-H47-H58-H60</f>
      </c>
      <c r="I78" s="158">
        <f>I16-I18-I20-I26-I37-I44-I47-I58-I60</f>
      </c>
      <c r="J78" s="158">
        <f>J16-J18-J20-J26-J37-J44-J47-J58-J60</f>
      </c>
      <c r="K78" s="158">
        <f>K16-K18-K20-K26-K37-K44-K47-K58-K60</f>
      </c>
      <c r="L78" s="158">
        <f>L16-L18-L20-L26-L37-L44-L47-L58-L60</f>
      </c>
      <c r="M78" s="158">
        <f>M16-M18-M20-M26-M37-M44-M47-M58-M60</f>
      </c>
      <c r="N78" s="158">
        <f>N16-N18-N20-N26-N37-N44-N47-N58-N60</f>
      </c>
      <c r="O78" s="158">
        <f>O16-O18-O20-O26-O37-O44-O47-O58-O60</f>
      </c>
      <c r="P78" s="1"/>
      <c r="Q78" s="1"/>
      <c r="R78" s="1"/>
      <c r="S78" s="1"/>
      <c r="T78" s="1"/>
    </row>
    <row r="79">
      <c r="A79" s="1"/>
      <c r="B79" s="1"/>
      <c r="C79" s="119">
        <f>C10-C11-C12-C13-C15</f>
      </c>
      <c r="D79" s="119">
        <f>D10-D11-D12-D13-D15</f>
      </c>
      <c r="E79" s="119">
        <f>E10-E11-E12-E13-E15</f>
      </c>
      <c r="F79" s="119">
        <f>F10-F11-F12-F13-F15</f>
      </c>
      <c r="G79" s="119">
        <f>G10-G11-G12-G13-G15</f>
      </c>
      <c r="H79" s="119">
        <f>H10-H11-H12-H13-H15</f>
      </c>
      <c r="I79" s="119">
        <f>I10-I11-I12-I13-I15</f>
      </c>
      <c r="J79" s="119">
        <f>J10-J11-J12-J13-J15</f>
      </c>
      <c r="K79" s="119">
        <f>K10-K11-K12-K13-K15</f>
      </c>
      <c r="L79" s="119">
        <f>L10-L11-L12-L13-L15</f>
      </c>
      <c r="M79" s="119">
        <f>M10-M11-M12-M13-M15</f>
      </c>
      <c r="N79" s="119">
        <f>N10-N11-N12-N13-N15</f>
      </c>
      <c r="O79" s="119">
        <f>O10-O11-O12-O13-O15</f>
      </c>
      <c r="P79" s="1"/>
      <c r="Q79" s="1"/>
      <c r="R79" s="1"/>
      <c r="S79" s="1"/>
      <c r="T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>
      <c r="A93" s="1"/>
      <c r="B93" s="1" t="str">
        <v>分摊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>
      <c r="A94" s="1"/>
      <c r="B94" s="85" t="str">
        <v>品牌及内容费用</v>
      </c>
      <c r="C94" s="127">
        <f>SUM(C95:C99)</f>
      </c>
      <c r="D94" s="127">
        <f>SUM(D95:D99)</f>
      </c>
      <c r="E94" s="127">
        <f>SUM(E95:E99)</f>
      </c>
      <c r="F94" s="127">
        <f>SUM(F95:F99)</f>
      </c>
      <c r="G94" s="127">
        <f>SUM(G95:G99)</f>
      </c>
      <c r="H94" s="127">
        <f>SUM(H95:H99)</f>
      </c>
      <c r="I94" s="127">
        <f>SUM(I95:I99)</f>
      </c>
      <c r="J94" s="127">
        <f>SUM(J95:J99)</f>
      </c>
      <c r="K94" s="127">
        <f>SUM(K95:K99)</f>
      </c>
      <c r="L94" s="127">
        <f>SUM(L95:L99)</f>
      </c>
      <c r="M94" s="127">
        <f>SUM(M95:M99)</f>
      </c>
      <c r="N94" s="127">
        <f>SUM(N95:N99)</f>
      </c>
      <c r="O94" s="1"/>
      <c r="P94" s="1"/>
      <c r="Q94" s="1"/>
      <c r="R94" s="1"/>
      <c r="S94" s="1"/>
      <c r="T94" s="1"/>
    </row>
    <row r="95">
      <c r="A95" s="1"/>
      <c r="B95" s="90" t="str">
        <v>展会</v>
      </c>
      <c r="C95" s="170">
        <f>'线下门店-小计'!C27*(C15/('26年全渠道汇总'!C15-'线下门店-小计'!C15))</f>
      </c>
      <c r="D95" s="170">
        <f>'线下门店-小计'!D27*(D15/('26年全渠道汇总'!D15-'线下门店-小计'!D15))</f>
      </c>
      <c r="E95" s="170">
        <f>'线下门店-小计'!E27*(E15/('26年全渠道汇总'!E15-'线下门店-小计'!E15))</f>
      </c>
      <c r="F95" s="170">
        <f>'线下门店-小计'!F27*(F15/('26年全渠道汇总'!F15-'线下门店-小计'!F15))</f>
      </c>
      <c r="G95" s="170">
        <f>'线下门店-小计'!G27*(G15/('26年全渠道汇总'!G15-'线下门店-小计'!G15))</f>
      </c>
      <c r="H95" s="170">
        <f>'线下门店-小计'!H27*(H15/('26年全渠道汇总'!H15-'线下门店-小计'!H15))</f>
      </c>
      <c r="I95" s="170">
        <f>'线下门店-小计'!I27*(I15/('26年全渠道汇总'!I15-'线下门店-小计'!I15))</f>
      </c>
      <c r="J95" s="170">
        <f>'线下门店-小计'!J27*(J15/('26年全渠道汇总'!J15-'线下门店-小计'!J15))</f>
      </c>
      <c r="K95" s="170">
        <f>'线下门店-小计'!K27*(K15/('26年全渠道汇总'!K15-'线下门店-小计'!K15))</f>
      </c>
      <c r="L95" s="170">
        <f>'线下门店-小计'!L27*(L15/('26年全渠道汇总'!L15-'线下门店-小计'!L15))</f>
      </c>
      <c r="M95" s="170">
        <f>'线下门店-小计'!M27*(M15/('26年全渠道汇总'!M15-'线下门店-小计'!M15))</f>
      </c>
      <c r="N95" s="170">
        <f>'线下门店-小计'!N27*(N15/('26年全渠道汇总'!N15-'线下门店-小计'!N15))</f>
      </c>
      <c r="O95" s="1"/>
      <c r="P95" s="1"/>
      <c r="Q95" s="1"/>
      <c r="R95" s="1"/>
      <c r="S95" s="1"/>
      <c r="T95" s="1"/>
    </row>
    <row r="96">
      <c r="A96" s="1"/>
      <c r="B96" s="90" t="str">
        <v>品牌营销</v>
      </c>
      <c r="C96" s="170">
        <f>'线下门店-小计'!C28*(C15/('26年全渠道汇总'!C15-'线下门店-小计'!C15))</f>
      </c>
      <c r="D96" s="170">
        <f>'线下门店-小计'!D28*(D15/('26年全渠道汇总'!D15-'线下门店-小计'!D15))</f>
      </c>
      <c r="E96" s="170">
        <f>'线下门店-小计'!E28*(E15/('26年全渠道汇总'!E15-'线下门店-小计'!E15))</f>
      </c>
      <c r="F96" s="170">
        <f>'线下门店-小计'!F28*(F15/('26年全渠道汇总'!F15-'线下门店-小计'!F15))</f>
      </c>
      <c r="G96" s="170">
        <f>'线下门店-小计'!G28*(G15/('26年全渠道汇总'!G15-'线下门店-小计'!G15))</f>
      </c>
      <c r="H96" s="170">
        <f>'线下门店-小计'!H28*(H15/('26年全渠道汇总'!H15-'线下门店-小计'!H15))</f>
      </c>
      <c r="I96" s="170">
        <f>'线下门店-小计'!I28*(I15/('26年全渠道汇总'!I15-'线下门店-小计'!I15))</f>
      </c>
      <c r="J96" s="170">
        <f>'线下门店-小计'!J28*(J15/('26年全渠道汇总'!J15-'线下门店-小计'!J15))</f>
      </c>
      <c r="K96" s="170">
        <f>'线下门店-小计'!K28*(K15/('26年全渠道汇总'!K15-'线下门店-小计'!K15))</f>
      </c>
      <c r="L96" s="170">
        <f>'线下门店-小计'!L28*(L15/('26年全渠道汇总'!L15-'线下门店-小计'!L15))</f>
      </c>
      <c r="M96" s="170">
        <f>'线下门店-小计'!M28*(M15/('26年全渠道汇总'!M15-'线下门店-小计'!M15))</f>
      </c>
      <c r="N96" s="170">
        <f>'线下门店-小计'!N28*(N15/('26年全渠道汇总'!N15-'线下门店-小计'!N15))</f>
      </c>
      <c r="O96" s="1"/>
      <c r="P96" s="1"/>
      <c r="Q96" s="1"/>
      <c r="R96" s="1"/>
      <c r="S96" s="1"/>
      <c r="T96" s="1"/>
    </row>
    <row r="97">
      <c r="A97" s="1"/>
      <c r="B97" s="90" t="str">
        <v>内容素材制作</v>
      </c>
      <c r="C97" s="170">
        <f>'线下门店-小计'!C29*(C15/('26年全渠道汇总'!C15-'线下门店-小计'!C15))</f>
      </c>
      <c r="D97" s="170">
        <f>'线下门店-小计'!D29*(D15/('26年全渠道汇总'!D15-'线下门店-小计'!D15))</f>
      </c>
      <c r="E97" s="170">
        <f>'线下门店-小计'!E29*(E15/('26年全渠道汇总'!E15-'线下门店-小计'!E15))</f>
      </c>
      <c r="F97" s="170">
        <f>'线下门店-小计'!F29*(F15/('26年全渠道汇总'!F15-'线下门店-小计'!F15))</f>
      </c>
      <c r="G97" s="170">
        <f>'线下门店-小计'!G29*(G15/('26年全渠道汇总'!G15-'线下门店-小计'!G15))</f>
      </c>
      <c r="H97" s="170">
        <f>'线下门店-小计'!H29*(H15/('26年全渠道汇总'!H15-'线下门店-小计'!H15))</f>
      </c>
      <c r="I97" s="170">
        <f>'线下门店-小计'!I29*(I15/('26年全渠道汇总'!I15-'线下门店-小计'!I15))</f>
      </c>
      <c r="J97" s="170">
        <f>'线下门店-小计'!J29*(J15/('26年全渠道汇总'!J15-'线下门店-小计'!J15))</f>
      </c>
      <c r="K97" s="170">
        <f>'线下门店-小计'!K29*(K15/('26年全渠道汇总'!K15-'线下门店-小计'!K15))</f>
      </c>
      <c r="L97" s="170">
        <f>'线下门店-小计'!L29*(L15/('26年全渠道汇总'!L15-'线下门店-小计'!L15))</f>
      </c>
      <c r="M97" s="170">
        <f>'线下门店-小计'!M29*(M15/('26年全渠道汇总'!M15-'线下门店-小计'!M15))</f>
      </c>
      <c r="N97" s="170">
        <f>'线下门店-小计'!N29*(N15/('26年全渠道汇总'!N15-'线下门店-小计'!N15))</f>
      </c>
      <c r="O97" s="1"/>
      <c r="P97" s="1"/>
      <c r="Q97" s="1"/>
      <c r="R97" s="1"/>
      <c r="S97" s="1"/>
      <c r="T97" s="1"/>
    </row>
    <row r="98">
      <c r="A98" s="1"/>
      <c r="B98" s="90" t="str">
        <v>公关费用</v>
      </c>
      <c r="C98" s="170">
        <f>'线下门店-小计'!C30*(C15/('26年全渠道汇总'!C15-'线下门店-小计'!C15))</f>
      </c>
      <c r="D98" s="170">
        <f>'线下门店-小计'!D30*(D15/('26年全渠道汇总'!D15-'线下门店-小计'!D15))</f>
      </c>
      <c r="E98" s="170">
        <f>'线下门店-小计'!E30*(E15/('26年全渠道汇总'!E15-'线下门店-小计'!E15))</f>
      </c>
      <c r="F98" s="170">
        <f>'线下门店-小计'!F30*(F15/('26年全渠道汇总'!F15-'线下门店-小计'!F15))</f>
      </c>
      <c r="G98" s="170">
        <f>'线下门店-小计'!G30*(G15/('26年全渠道汇总'!G15-'线下门店-小计'!G15))</f>
      </c>
      <c r="H98" s="170">
        <f>'线下门店-小计'!H30*(H15/('26年全渠道汇总'!H15-'线下门店-小计'!H15))</f>
      </c>
      <c r="I98" s="170">
        <f>'线下门店-小计'!I30*(I15/('26年全渠道汇总'!I15-'线下门店-小计'!I15))</f>
      </c>
      <c r="J98" s="170">
        <f>'线下门店-小计'!J30*(J15/('26年全渠道汇总'!J15-'线下门店-小计'!J15))</f>
      </c>
      <c r="K98" s="170">
        <f>'线下门店-小计'!K30*(K15/('26年全渠道汇总'!K15-'线下门店-小计'!K15))</f>
      </c>
      <c r="L98" s="170">
        <f>'线下门店-小计'!L30*(L15/('26年全渠道汇总'!L15-'线下门店-小计'!L15))</f>
      </c>
      <c r="M98" s="170">
        <f>'线下门店-小计'!M30*(M15/('26年全渠道汇总'!M15-'线下门店-小计'!M15))</f>
      </c>
      <c r="N98" s="170">
        <f>'线下门店-小计'!N30*(N15/('26年全渠道汇总'!N15-'线下门店-小计'!N15))</f>
      </c>
      <c r="O98" s="1"/>
      <c r="P98" s="1"/>
      <c r="Q98" s="1"/>
      <c r="R98" s="1"/>
      <c r="S98" s="1"/>
      <c r="T98" s="1"/>
    </row>
    <row r="99">
      <c r="A99" s="1"/>
      <c r="B99" s="90" t="str">
        <v>达人种草、样机及加热</v>
      </c>
      <c r="C99" s="170">
        <f>'线下门店-小计'!C31*(C15/('26年全渠道汇总'!C15-'线下门店-小计'!C15))</f>
      </c>
      <c r="D99" s="170">
        <f>'线下门店-小计'!D31*(D15/('26年全渠道汇总'!D15-'线下门店-小计'!D15))</f>
      </c>
      <c r="E99" s="170">
        <f>'线下门店-小计'!E31*(E15/('26年全渠道汇总'!E15-'线下门店-小计'!E15))</f>
      </c>
      <c r="F99" s="170">
        <f>'线下门店-小计'!F31*(F15/('26年全渠道汇总'!F15-'线下门店-小计'!F15))</f>
      </c>
      <c r="G99" s="170">
        <f>'线下门店-小计'!G31*(G15/('26年全渠道汇总'!G15-'线下门店-小计'!G15))</f>
      </c>
      <c r="H99" s="170">
        <f>'线下门店-小计'!H31*(H15/('26年全渠道汇总'!H15-'线下门店-小计'!H15))</f>
      </c>
      <c r="I99" s="170">
        <f>'线下门店-小计'!I31*(I15/('26年全渠道汇总'!I15-'线下门店-小计'!I15))</f>
      </c>
      <c r="J99" s="170">
        <f>'线下门店-小计'!J31*(J15/('26年全渠道汇总'!J15-'线下门店-小计'!J15))</f>
      </c>
      <c r="K99" s="170">
        <f>'线下门店-小计'!K31*(K15/('26年全渠道汇总'!K15-'线下门店-小计'!K15))</f>
      </c>
      <c r="L99" s="170">
        <f>'线下门店-小计'!L31*(L15/('26年全渠道汇总'!L15-'线下门店-小计'!L15))</f>
      </c>
      <c r="M99" s="170">
        <f>'线下门店-小计'!M31*(M15/('26年全渠道汇总'!M15-'线下门店-小计'!M15))</f>
      </c>
      <c r="N99" s="170">
        <f>'线下门店-小计'!N31*(N15/('26年全渠道汇总'!N15-'线下门店-小计'!N15))</f>
      </c>
      <c r="O99" s="1"/>
      <c r="P99" s="1"/>
      <c r="Q99" s="1"/>
      <c r="R99" s="1"/>
      <c r="S99" s="1"/>
      <c r="T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>
      <c r="A101" s="1"/>
      <c r="B101" s="1" t="str">
        <v>总计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>
      <c r="A102" s="1"/>
      <c r="B102" s="85" t="str">
        <v>品牌及内容费用</v>
      </c>
      <c r="C102" s="127">
        <f>SUM(C103:C107)</f>
      </c>
      <c r="D102" s="127">
        <f>SUM(D103:D107)</f>
      </c>
      <c r="E102" s="127">
        <f>SUM(E103:E107)</f>
      </c>
      <c r="F102" s="127">
        <f>SUM(F103:F107)</f>
      </c>
      <c r="G102" s="127">
        <f>SUM(G103:G107)</f>
      </c>
      <c r="H102" s="127">
        <f>SUM(H103:H107)</f>
      </c>
      <c r="I102" s="127">
        <f>SUM(I103:I107)</f>
      </c>
      <c r="J102" s="127">
        <f>SUM(J103:J107)</f>
      </c>
      <c r="K102" s="127">
        <f>SUM(K103:K107)</f>
      </c>
      <c r="L102" s="127">
        <f>SUM(L103:L107)</f>
      </c>
      <c r="M102" s="127">
        <f>SUM(M103:M107)</f>
      </c>
      <c r="N102" s="127">
        <f>SUM(N103:N107)</f>
      </c>
      <c r="O102" s="1"/>
      <c r="P102" s="1"/>
      <c r="Q102" s="1"/>
      <c r="R102" s="1"/>
      <c r="S102" s="1"/>
      <c r="T102" s="1"/>
    </row>
    <row r="103">
      <c r="A103" s="1"/>
      <c r="B103" s="90" t="str">
        <v>展会</v>
      </c>
      <c r="C103" s="170">
        <f>C95+C27</f>
      </c>
      <c r="D103" s="170">
        <f>D95+D27</f>
      </c>
      <c r="E103" s="170">
        <f>E95+E27</f>
      </c>
      <c r="F103" s="170">
        <f>F95+F27</f>
      </c>
      <c r="G103" s="170">
        <f>G95+G27</f>
      </c>
      <c r="H103" s="170">
        <f>H95+H27</f>
      </c>
      <c r="I103" s="170">
        <f>I95+I27</f>
      </c>
      <c r="J103" s="170">
        <f>J95+J27</f>
      </c>
      <c r="K103" s="170">
        <f>K95+K27</f>
      </c>
      <c r="L103" s="170">
        <f>L95+L27</f>
      </c>
      <c r="M103" s="170">
        <f>M95+M27</f>
      </c>
      <c r="N103" s="170">
        <f>N95+N27</f>
      </c>
      <c r="O103" s="1"/>
      <c r="P103" s="1"/>
      <c r="Q103" s="1"/>
      <c r="R103" s="1"/>
      <c r="S103" s="1"/>
      <c r="T103" s="1"/>
    </row>
    <row r="104">
      <c r="A104" s="1"/>
      <c r="B104" s="90" t="str">
        <v>品牌营销</v>
      </c>
      <c r="C104" s="170">
        <f>C96+C28</f>
      </c>
      <c r="D104" s="170">
        <f>D96+D28</f>
      </c>
      <c r="E104" s="170">
        <f>E96+E28</f>
      </c>
      <c r="F104" s="170">
        <f>F96+F28</f>
      </c>
      <c r="G104" s="170">
        <f>G96+G28</f>
      </c>
      <c r="H104" s="170">
        <f>H96+H28</f>
      </c>
      <c r="I104" s="170">
        <f>I96+I28</f>
      </c>
      <c r="J104" s="170">
        <f>J96+J28</f>
      </c>
      <c r="K104" s="170">
        <f>K96+K28</f>
      </c>
      <c r="L104" s="170">
        <f>L96+L28</f>
      </c>
      <c r="M104" s="170">
        <f>M96+M28</f>
      </c>
      <c r="N104" s="170">
        <f>N96+N28</f>
      </c>
      <c r="O104" s="1"/>
      <c r="P104" s="1"/>
      <c r="Q104" s="1"/>
      <c r="R104" s="1"/>
      <c r="S104" s="1"/>
      <c r="T104" s="1"/>
    </row>
    <row r="105">
      <c r="A105" s="1"/>
      <c r="B105" s="90" t="str">
        <v>内容素材制作</v>
      </c>
      <c r="C105" s="170">
        <f>C97+C29</f>
      </c>
      <c r="D105" s="170">
        <f>D97+D29</f>
      </c>
      <c r="E105" s="170">
        <f>E97+E29</f>
      </c>
      <c r="F105" s="170">
        <f>F97+F29</f>
      </c>
      <c r="G105" s="170">
        <f>G97+G29</f>
      </c>
      <c r="H105" s="170">
        <f>H97+H29</f>
      </c>
      <c r="I105" s="170">
        <f>I97+I29</f>
      </c>
      <c r="J105" s="170">
        <f>J97+J29</f>
      </c>
      <c r="K105" s="170">
        <f>K97+K29</f>
      </c>
      <c r="L105" s="170">
        <f>L97+L29</f>
      </c>
      <c r="M105" s="170">
        <f>M97+M29</f>
      </c>
      <c r="N105" s="170">
        <f>N97+N29</f>
      </c>
      <c r="O105" s="1"/>
      <c r="P105" s="1"/>
      <c r="Q105" s="1"/>
      <c r="R105" s="1"/>
      <c r="S105" s="1"/>
      <c r="T105" s="1"/>
    </row>
    <row r="106">
      <c r="A106" s="1"/>
      <c r="B106" s="90" t="str">
        <v>公关费用</v>
      </c>
      <c r="C106" s="170">
        <f>C98+C30</f>
      </c>
      <c r="D106" s="170">
        <f>D98+D30</f>
      </c>
      <c r="E106" s="170">
        <f>E98+E30</f>
      </c>
      <c r="F106" s="170">
        <f>F98+F30</f>
      </c>
      <c r="G106" s="170">
        <f>G98+G30</f>
      </c>
      <c r="H106" s="170">
        <f>H98+H30</f>
      </c>
      <c r="I106" s="170">
        <f>I98+I30</f>
      </c>
      <c r="J106" s="170">
        <f>J98+J30</f>
      </c>
      <c r="K106" s="170">
        <f>K98+K30</f>
      </c>
      <c r="L106" s="170">
        <f>L98+L30</f>
      </c>
      <c r="M106" s="170">
        <f>M98+M30</f>
      </c>
      <c r="N106" s="170">
        <f>N98+N30</f>
      </c>
      <c r="O106" s="1"/>
      <c r="P106" s="1"/>
      <c r="Q106" s="1"/>
      <c r="R106" s="1"/>
      <c r="S106" s="1"/>
      <c r="T106" s="1"/>
    </row>
    <row r="107">
      <c r="A107" s="1"/>
      <c r="B107" s="90" t="str">
        <v>达人种草、样机及加热</v>
      </c>
      <c r="C107" s="170">
        <f>C99+C31</f>
      </c>
      <c r="D107" s="170">
        <f>D99+D31</f>
      </c>
      <c r="E107" s="170">
        <f>E99+E31</f>
      </c>
      <c r="F107" s="170">
        <f>F99+F31</f>
      </c>
      <c r="G107" s="170">
        <f>G99+G31</f>
      </c>
      <c r="H107" s="170">
        <f>H99+H31</f>
      </c>
      <c r="I107" s="170">
        <f>I99+I31</f>
      </c>
      <c r="J107" s="170">
        <f>J99+J31</f>
      </c>
      <c r="K107" s="170">
        <f>K99+K31</f>
      </c>
      <c r="L107" s="170">
        <f>L99+L31</f>
      </c>
      <c r="M107" s="170">
        <f>M99+M31</f>
      </c>
      <c r="N107" s="170">
        <f>N99+N31</f>
      </c>
      <c r="O107" s="1"/>
      <c r="P107" s="1"/>
      <c r="Q107" s="1"/>
      <c r="R107" s="1"/>
      <c r="S107" s="1"/>
      <c r="T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</sheetData>
  <picture r:id="rId1"/>
</worksheet>
</file>

<file path=xl/worksheets/sheet1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tabColor rgb="FF34c724"/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</row>
    <row r="2">
      <c r="B2" s="90" t="str">
        <v>退后销量</v>
      </c>
      <c r="C2" s="88">
        <f>+'抖音'!C2+'抖音达播'!C2+'快手'!C2</f>
      </c>
      <c r="D2" s="88">
        <f>+'抖音'!D2+'抖音达播'!D2+'快手'!D2</f>
      </c>
      <c r="E2" s="88">
        <f>+'抖音'!E2+'抖音达播'!E2+'快手'!E2</f>
      </c>
      <c r="F2" s="88">
        <f>+'抖音'!F2+'抖音达播'!F2+'快手'!F2</f>
      </c>
      <c r="G2" s="88">
        <f>+'抖音'!G2+'抖音达播'!G2+'快手'!G2</f>
      </c>
      <c r="H2" s="88">
        <f>+'抖音'!H2+'抖音达播'!H2+'快手'!H2</f>
      </c>
      <c r="I2" s="88">
        <f>+'抖音'!I2+'抖音达播'!I2+'快手'!I2</f>
      </c>
      <c r="J2" s="88">
        <f>+'抖音'!J2+'抖音达播'!J2+'快手'!J2</f>
      </c>
      <c r="K2" s="88">
        <f>+'抖音'!K2+'抖音达播'!K2+'快手'!K2</f>
      </c>
      <c r="L2" s="88">
        <f>+'抖音'!L2+'抖音达播'!L2+'快手'!L2</f>
      </c>
      <c r="M2" s="88">
        <f>+'抖音'!M2+'抖音达播'!M2+'快手'!M2</f>
      </c>
      <c r="N2" s="88">
        <f>+'抖音'!N2+'抖音达播'!N2+'快手'!N2</f>
      </c>
      <c r="O2" s="88">
        <f>SUM(C2:N2)</f>
      </c>
      <c r="P2" s="88"/>
      <c r="Q2" s="1"/>
    </row>
    <row r="3">
      <c r="A3" s="97"/>
      <c r="B3" s="94" t="str">
        <v>自补前GMV</v>
      </c>
      <c r="C3" s="93">
        <f>+'抖音'!C3+'抖音达播'!C3+'快手'!C3</f>
      </c>
      <c r="D3" s="93">
        <f>+'抖音'!D3+'抖音达播'!D3+'快手'!D3</f>
      </c>
      <c r="E3" s="93">
        <f>+'抖音'!E3+'抖音达播'!E3+'快手'!E3</f>
      </c>
      <c r="F3" s="93">
        <f>+'抖音'!F3+'抖音达播'!F3+'快手'!F3</f>
      </c>
      <c r="G3" s="93">
        <f>+'抖音'!G3+'抖音达播'!G3+'快手'!G3</f>
      </c>
      <c r="H3" s="93">
        <f>+'抖音'!H3+'抖音达播'!H3+'快手'!H3</f>
      </c>
      <c r="I3" s="93">
        <f>+'抖音'!I3+'抖音达播'!I3+'快手'!I3</f>
      </c>
      <c r="J3" s="93">
        <f>+'抖音'!J3+'抖音达播'!J3+'快手'!J3</f>
      </c>
      <c r="K3" s="93">
        <f>+'抖音'!K3+'抖音达播'!K3+'快手'!K3</f>
      </c>
      <c r="L3" s="93">
        <f>+'抖音'!L3+'抖音达播'!L3+'快手'!L3</f>
      </c>
      <c r="M3" s="93">
        <f>+'抖音'!M3+'抖音达播'!M3+'快手'!M3</f>
      </c>
      <c r="N3" s="93">
        <f>+'抖音'!N3+'抖音达播'!N3+'快手'!N3</f>
      </c>
      <c r="O3" s="93">
        <f>SUM(C3:N3)</f>
      </c>
      <c r="P3" s="93"/>
      <c r="Q3" s="146" t="str">
        <v>渠道填写</v>
      </c>
    </row>
    <row r="4">
      <c r="A4" s="97"/>
      <c r="B4" s="94" t="str">
        <v>自补前GSV</v>
      </c>
      <c r="C4" s="93">
        <f>+'抖音'!C4+'抖音达播'!C4+'快手'!C4</f>
      </c>
      <c r="D4" s="93">
        <f>+'抖音'!D4+'抖音达播'!D4+'快手'!D4</f>
      </c>
      <c r="E4" s="93">
        <f>+'抖音'!E4+'抖音达播'!E4+'快手'!E4</f>
      </c>
      <c r="F4" s="93">
        <f>+'抖音'!F4+'抖音达播'!F4+'快手'!F4</f>
      </c>
      <c r="G4" s="93">
        <f>+'抖音'!G4+'抖音达播'!G4+'快手'!G4</f>
      </c>
      <c r="H4" s="93">
        <f>+'抖音'!H4+'抖音达播'!H4+'快手'!H4</f>
      </c>
      <c r="I4" s="93">
        <f>+'抖音'!I4+'抖音达播'!I4+'快手'!I4</f>
      </c>
      <c r="J4" s="93">
        <f>+'抖音'!J4+'抖音达播'!J4+'快手'!J4</f>
      </c>
      <c r="K4" s="93">
        <f>+'抖音'!K4+'抖音达播'!K4+'快手'!K4</f>
      </c>
      <c r="L4" s="93">
        <f>+'抖音'!L4+'抖音达播'!L4+'快手'!L4</f>
      </c>
      <c r="M4" s="93">
        <f>+'抖音'!M4+'抖音达播'!M4+'快手'!M4</f>
      </c>
      <c r="N4" s="93">
        <f>+'抖音'!N4+'抖音达播'!N4+'快手'!N4</f>
      </c>
      <c r="O4" s="93">
        <f>SUM(C4:N4)</f>
      </c>
      <c r="P4" s="93"/>
      <c r="Q4" s="146" t="str">
        <v>渠道填写</v>
      </c>
    </row>
    <row r="5">
      <c r="A5" s="97"/>
      <c r="B5" s="94" t="str">
        <v>国补自补费用</v>
      </c>
      <c r="C5" s="93">
        <f>+'抖音'!C5+'抖音达播'!C5+'快手'!C5</f>
      </c>
      <c r="D5" s="93">
        <f>+'抖音'!D5+'抖音达播'!D5+'快手'!D5</f>
      </c>
      <c r="E5" s="93">
        <f>+'抖音'!E5+'抖音达播'!E5+'快手'!E5</f>
      </c>
      <c r="F5" s="93">
        <f>+'抖音'!F5+'抖音达播'!F5+'快手'!F5</f>
      </c>
      <c r="G5" s="93">
        <f>+'抖音'!G5+'抖音达播'!G5+'快手'!G5</f>
      </c>
      <c r="H5" s="93">
        <f>+'抖音'!H5+'抖音达播'!H5+'快手'!H5</f>
      </c>
      <c r="I5" s="93">
        <f>+'抖音'!I5+'抖音达播'!I5+'快手'!I5</f>
      </c>
      <c r="J5" s="93">
        <f>+'抖音'!J5+'抖音达播'!J5+'快手'!J5</f>
      </c>
      <c r="K5" s="93">
        <f>+'抖音'!K5+'抖音达播'!K5+'快手'!K5</f>
      </c>
      <c r="L5" s="93">
        <f>+'抖音'!L5+'抖音达播'!L5+'快手'!L5</f>
      </c>
      <c r="M5" s="93">
        <f>+'抖音'!M5+'抖音达播'!M5+'快手'!M5</f>
      </c>
      <c r="N5" s="93">
        <f>+'抖音'!N5+'抖音达播'!N5+'快手'!N5</f>
      </c>
      <c r="O5" s="93">
        <f>SUM(C5:N5)</f>
      </c>
      <c r="P5" s="93"/>
      <c r="Q5" s="126" t="str">
        <v>渠道填写</v>
      </c>
    </row>
    <row r="6">
      <c r="A6" s="97"/>
      <c r="B6" s="98" t="str">
        <v>GMV（国补后）</v>
      </c>
      <c r="C6" s="95">
        <f>+'抖音'!C6+'抖音达播'!C6+'快手'!C6</f>
      </c>
      <c r="D6" s="95">
        <f>+'抖音'!D6+'抖音达播'!D6+'快手'!D6</f>
      </c>
      <c r="E6" s="95">
        <f>+'抖音'!E6+'抖音达播'!E6+'快手'!E6</f>
      </c>
      <c r="F6" s="95">
        <f>+'抖音'!F6+'抖音达播'!F6+'快手'!F6</f>
      </c>
      <c r="G6" s="95">
        <f>+'抖音'!G6+'抖音达播'!G6+'快手'!G6</f>
      </c>
      <c r="H6" s="95">
        <f>+'抖音'!H6+'抖音达播'!H6+'快手'!H6</f>
      </c>
      <c r="I6" s="95">
        <f>+'抖音'!I6+'抖音达播'!I6+'快手'!I6</f>
      </c>
      <c r="J6" s="95">
        <f>+'抖音'!J6+'抖音达播'!J6+'快手'!J6</f>
      </c>
      <c r="K6" s="95">
        <f>+'抖音'!K6+'抖音达播'!K6+'快手'!K6</f>
      </c>
      <c r="L6" s="95">
        <f>+'抖音'!L6+'抖音达播'!L6+'快手'!L6</f>
      </c>
      <c r="M6" s="95">
        <f>+'抖音'!M6+'抖音达播'!M6+'快手'!M6</f>
      </c>
      <c r="N6" s="95">
        <f>+'抖音'!N6+'抖音达播'!N6+'快手'!N6</f>
      </c>
      <c r="O6" s="95">
        <f>SUM(C6:N6)</f>
      </c>
      <c r="P6" s="95"/>
      <c r="Q6" s="126" t="str">
        <v>渠道填写</v>
      </c>
    </row>
    <row r="7">
      <c r="A7" s="97"/>
      <c r="B7" s="102" t="str">
        <v>退货率（发货前+后）</v>
      </c>
      <c r="C7" s="103">
        <f>1-C8/C6</f>
      </c>
      <c r="D7" s="103">
        <f>1-D8/D6</f>
      </c>
      <c r="E7" s="103">
        <f>1-E8/E6</f>
      </c>
      <c r="F7" s="103">
        <f>1-F8/F6</f>
      </c>
      <c r="G7" s="103">
        <f>1-G8/G6</f>
      </c>
      <c r="H7" s="103">
        <f>1-H8/H6</f>
      </c>
      <c r="I7" s="103">
        <f>1-I8/I6</f>
      </c>
      <c r="J7" s="103">
        <f>1-J8/J6</f>
      </c>
      <c r="K7" s="103">
        <f>1-K8/K6</f>
      </c>
      <c r="L7" s="103">
        <f>1-L8/L6</f>
      </c>
      <c r="M7" s="103">
        <f>1-M8/M6</f>
      </c>
      <c r="N7" s="103">
        <f>1-N8/N6</f>
      </c>
      <c r="O7" s="103">
        <f>1-O8/O6</f>
      </c>
      <c r="P7" s="103"/>
      <c r="Q7" s="1" t="str">
        <v>渠道填写</v>
      </c>
    </row>
    <row r="8">
      <c r="A8" s="97"/>
      <c r="B8" s="98" t="str">
        <v>GSV（国补后）</v>
      </c>
      <c r="C8" s="95">
        <f>+'抖音'!C8+'抖音达播'!C8+'快手'!C8</f>
      </c>
      <c r="D8" s="95">
        <f>+'抖音'!D8+'抖音达播'!D8+'快手'!D8</f>
      </c>
      <c r="E8" s="95">
        <f>+'抖音'!E8+'抖音达播'!E8+'快手'!E8</f>
      </c>
      <c r="F8" s="95">
        <f>+'抖音'!F8+'抖音达播'!F8+'快手'!F8</f>
      </c>
      <c r="G8" s="95">
        <f>+'抖音'!G8+'抖音达播'!G8+'快手'!G8</f>
      </c>
      <c r="H8" s="95">
        <f>+'抖音'!H8+'抖音达播'!H8+'快手'!H8</f>
      </c>
      <c r="I8" s="95">
        <f>+'抖音'!I8+'抖音达播'!I8+'快手'!I8</f>
      </c>
      <c r="J8" s="95">
        <f>+'抖音'!J8+'抖音达播'!J8+'快手'!J8</f>
      </c>
      <c r="K8" s="95">
        <f>+'抖音'!K8+'抖音达播'!K8+'快手'!K8</f>
      </c>
      <c r="L8" s="95">
        <f>+'抖音'!L8+'抖音达播'!L8+'快手'!L8</f>
      </c>
      <c r="M8" s="95">
        <f>+'抖音'!M8+'抖音达播'!M8+'快手'!M8</f>
      </c>
      <c r="N8" s="95">
        <f>+'抖音'!N8+'抖音达播'!N8+'快手'!N8</f>
      </c>
      <c r="O8" s="95">
        <f>SUM(C8:N8)</f>
      </c>
      <c r="P8" s="95"/>
      <c r="Q8" s="1" t="str">
        <v>渠道填写</v>
      </c>
    </row>
    <row r="9">
      <c r="B9" s="90"/>
      <c r="C9" s="88">
        <f>+'抖音'!C9+'抖音达播'!C9+'快手'!C9</f>
      </c>
      <c r="D9" s="88">
        <f>+'抖音'!D9+'抖音达播'!D9+'快手'!D9</f>
      </c>
      <c r="E9" s="88">
        <f>+'抖音'!E9+'抖音达播'!E9+'快手'!E9</f>
      </c>
      <c r="F9" s="88">
        <f>+'抖音'!F9+'抖音达播'!F9+'快手'!F9</f>
      </c>
      <c r="G9" s="88">
        <f>+'抖音'!G9+'抖音达播'!G9+'快手'!G9</f>
      </c>
      <c r="H9" s="88">
        <f>+'抖音'!H9+'抖音达播'!H9+'快手'!H9</f>
      </c>
      <c r="I9" s="88">
        <f>+'抖音'!I9+'抖音达播'!I9+'快手'!I9</f>
      </c>
      <c r="J9" s="88">
        <f>+'抖音'!J9+'抖音达播'!J9+'快手'!J9</f>
      </c>
      <c r="K9" s="88">
        <f>+'抖音'!K9+'抖音达播'!K9+'快手'!K9</f>
      </c>
      <c r="L9" s="88">
        <f>+'抖音'!L9+'抖音达播'!L9+'快手'!L9</f>
      </c>
      <c r="M9" s="88">
        <f>+'抖音'!M9+'抖音达播'!M9+'快手'!M9</f>
      </c>
      <c r="N9" s="88">
        <f>+'抖音'!N9+'抖音达播'!N9+'快手'!N9</f>
      </c>
      <c r="O9" s="88">
        <f>O8+O14-O10</f>
      </c>
      <c r="P9" s="88"/>
      <c r="Q9" s="1"/>
    </row>
    <row r="10">
      <c r="A10" s="97"/>
      <c r="B10" s="98" t="str">
        <v>零售价（去除退货后的）</v>
      </c>
      <c r="C10" s="95">
        <f>+'抖音'!C10+'抖音达播'!C10+'快手'!C10</f>
      </c>
      <c r="D10" s="95">
        <f>+'抖音'!D10+'抖音达播'!D10+'快手'!D10</f>
      </c>
      <c r="E10" s="95">
        <f>+'抖音'!E10+'抖音达播'!E10+'快手'!E10</f>
      </c>
      <c r="F10" s="95">
        <f>+'抖音'!F10+'抖音达播'!F10+'快手'!F10</f>
      </c>
      <c r="G10" s="95">
        <f>+'抖音'!G10+'抖音达播'!G10+'快手'!G10</f>
      </c>
      <c r="H10" s="95">
        <f>+'抖音'!H10+'抖音达播'!H10+'快手'!H10</f>
      </c>
      <c r="I10" s="95">
        <f>+'抖音'!I10+'抖音达播'!I10+'快手'!I10</f>
      </c>
      <c r="J10" s="95">
        <f>+'抖音'!J10+'抖音达播'!J10+'快手'!J10</f>
      </c>
      <c r="K10" s="95">
        <f>+'抖音'!K10+'抖音达播'!K10+'快手'!K10</f>
      </c>
      <c r="L10" s="95">
        <f>+'抖音'!L10+'抖音达播'!L10+'快手'!L10</f>
      </c>
      <c r="M10" s="95">
        <f>+'抖音'!M10+'抖音达播'!M10+'快手'!M10</f>
      </c>
      <c r="N10" s="95">
        <f>+'抖音'!N10+'抖音达播'!N10+'快手'!N10</f>
      </c>
      <c r="O10" s="95">
        <f>SUM(C10:N10)</f>
      </c>
      <c r="P10" s="95"/>
      <c r="Q10" s="1"/>
    </row>
    <row r="11">
      <c r="B11" s="85" t="str">
        <v>合同折扣及返利 (线下）</v>
      </c>
      <c r="C11" s="84">
        <f>+'抖音'!C11+'抖音达播'!C11+'快手'!C11</f>
      </c>
      <c r="D11" s="84">
        <f>+'抖音'!D11+'抖音达播'!D11+'快手'!D11</f>
      </c>
      <c r="E11" s="84">
        <f>+'抖音'!E11+'抖音达播'!E11+'快手'!E11</f>
      </c>
      <c r="F11" s="84">
        <f>+'抖音'!F11+'抖音达播'!F11+'快手'!F11</f>
      </c>
      <c r="G11" s="84">
        <f>+'抖音'!G11+'抖音达播'!G11+'快手'!G11</f>
      </c>
      <c r="H11" s="84">
        <f>+'抖音'!H11+'抖音达播'!H11+'快手'!H11</f>
      </c>
      <c r="I11" s="84">
        <f>+'抖音'!I11+'抖音达播'!I11+'快手'!I11</f>
      </c>
      <c r="J11" s="84">
        <f>+'抖音'!J11+'抖音达播'!J11+'快手'!J11</f>
      </c>
      <c r="K11" s="84">
        <f>+'抖音'!K11+'抖音达播'!K11+'快手'!K11</f>
      </c>
      <c r="L11" s="84">
        <f>+'抖音'!L11+'抖音达播'!L11+'快手'!L11</f>
      </c>
      <c r="M11" s="84">
        <f>+'抖音'!M11+'抖音达播'!M11+'快手'!M11</f>
      </c>
      <c r="N11" s="84">
        <f>+'抖音'!N11+'抖音达播'!N11+'快手'!N11</f>
      </c>
      <c r="O11" s="84">
        <f>SUM(C11:N11)</f>
      </c>
      <c r="P11" s="84"/>
      <c r="Q11" s="1" t="str">
        <v>线下渠道填写</v>
      </c>
    </row>
    <row r="12">
      <c r="B12" s="85" t="str">
        <v>国补自补 （线上）</v>
      </c>
      <c r="C12" s="84">
        <f>+'抖音'!C12+'抖音达播'!C12+'快手'!C12</f>
      </c>
      <c r="D12" s="84">
        <f>+'抖音'!D12+'抖音达播'!D12+'快手'!D12</f>
      </c>
      <c r="E12" s="84">
        <f>+'抖音'!E12+'抖音达播'!E12+'快手'!E12</f>
      </c>
      <c r="F12" s="84">
        <f>+'抖音'!F12+'抖音达播'!F12+'快手'!F12</f>
      </c>
      <c r="G12" s="84">
        <f>+'抖音'!G12+'抖音达播'!G12+'快手'!G12</f>
      </c>
      <c r="H12" s="84">
        <f>+'抖音'!H12+'抖音达播'!H12+'快手'!H12</f>
      </c>
      <c r="I12" s="84">
        <f>+'抖音'!I12+'抖音达播'!I12+'快手'!I12</f>
      </c>
      <c r="J12" s="84">
        <f>+'抖音'!J12+'抖音达播'!J12+'快手'!J12</f>
      </c>
      <c r="K12" s="84">
        <f>+'抖音'!K12+'抖音达播'!K12+'快手'!K12</f>
      </c>
      <c r="L12" s="84">
        <f>+'抖音'!L12+'抖音达播'!L12+'快手'!L12</f>
      </c>
      <c r="M12" s="84">
        <f>+'抖音'!M12+'抖音达播'!M12+'快手'!M12</f>
      </c>
      <c r="N12" s="84">
        <f>+'抖音'!N12+'抖音达播'!N12+'快手'!N12</f>
      </c>
      <c r="O12" s="84">
        <f>SUM(C12:N12)</f>
      </c>
      <c r="P12" s="183">
        <v>0.15</v>
      </c>
      <c r="Q12" s="1" t="str">
        <v>渠道填写</v>
      </c>
      <c r="R12" s="54">
        <f>O12/$O$10</f>
      </c>
    </row>
    <row customHeight="true" ht="24" r="13">
      <c r="B13" s="85" t="str">
        <v>红包消费券等促销折扣</v>
      </c>
      <c r="C13" s="84">
        <f>+'抖音'!C13+'抖音达播'!C13+'快手'!C13</f>
      </c>
      <c r="D13" s="84">
        <f>+'抖音'!D13+'抖音达播'!D13+'快手'!D13</f>
      </c>
      <c r="E13" s="84">
        <f>+'抖音'!E13+'抖音达播'!E13+'快手'!E13</f>
      </c>
      <c r="F13" s="84">
        <f>+'抖音'!F13+'抖音达播'!F13+'快手'!F13</f>
      </c>
      <c r="G13" s="84">
        <f>+'抖音'!G13+'抖音达播'!G13+'快手'!G13</f>
      </c>
      <c r="H13" s="84">
        <f>+'抖音'!H13+'抖音达播'!H13+'快手'!H13</f>
      </c>
      <c r="I13" s="84">
        <f>+'抖音'!I13+'抖音达播'!I13+'快手'!I13</f>
      </c>
      <c r="J13" s="84">
        <f>+'抖音'!J13+'抖音达播'!J13+'快手'!J13</f>
      </c>
      <c r="K13" s="84">
        <f>+'抖音'!K13+'抖音达播'!K13+'快手'!K13</f>
      </c>
      <c r="L13" s="84">
        <f>+'抖音'!L13+'抖音达播'!L13+'快手'!L13</f>
      </c>
      <c r="M13" s="84">
        <f>+'抖音'!M13+'抖音达播'!M13+'快手'!M13</f>
      </c>
      <c r="N13" s="84">
        <f>+'抖音'!N13+'抖音达播'!N13+'快手'!N13</f>
      </c>
      <c r="O13" s="84">
        <f>SUM(C13:N13)</f>
      </c>
      <c r="P13" s="183"/>
      <c r="Q13" s="1" t="str">
        <v>渠道填写</v>
      </c>
      <c r="R13" s="54">
        <f>O13/$O$10</f>
      </c>
    </row>
    <row r="14">
      <c r="B14" s="83" t="str">
        <v>TTL 折扣合计</v>
      </c>
      <c r="C14" s="81">
        <f>+'抖音'!C14+'抖音达播'!C14+'快手'!C14</f>
      </c>
      <c r="D14" s="81">
        <f>+'抖音'!D14+'抖音达播'!D14+'快手'!D14</f>
      </c>
      <c r="E14" s="81">
        <f>+'抖音'!E14+'抖音达播'!E14+'快手'!E14</f>
      </c>
      <c r="F14" s="81">
        <f>+'抖音'!F14+'抖音达播'!F14+'快手'!F14</f>
      </c>
      <c r="G14" s="81">
        <f>+'抖音'!G14+'抖音达播'!G14+'快手'!G14</f>
      </c>
      <c r="H14" s="81">
        <f>+'抖音'!H14+'抖音达播'!H14+'快手'!H14</f>
      </c>
      <c r="I14" s="81">
        <f>+'抖音'!I14+'抖音达播'!I14+'快手'!I14</f>
      </c>
      <c r="J14" s="81">
        <f>+'抖音'!J14+'抖音达播'!J14+'快手'!J14</f>
      </c>
      <c r="K14" s="81">
        <f>+'抖音'!K14+'抖音达播'!K14+'快手'!K14</f>
      </c>
      <c r="L14" s="81">
        <f>+'抖音'!L14+'抖音达播'!L14+'快手'!L14</f>
      </c>
      <c r="M14" s="81">
        <f>+'抖音'!M14+'抖音达播'!M14+'快手'!M14</f>
      </c>
      <c r="N14" s="81">
        <f>+'抖音'!N14+'抖音达播'!N14+'快手'!N14</f>
      </c>
      <c r="O14" s="81">
        <f>SUM(C14:N14)</f>
      </c>
      <c r="P14" s="81"/>
      <c r="Q14" s="1"/>
      <c r="R14" s="54">
        <f>O14/$O$10</f>
      </c>
    </row>
    <row r="15">
      <c r="A15" s="97"/>
      <c r="B15" s="98" t="str">
        <v>GSV</v>
      </c>
      <c r="C15" s="95">
        <f>+'抖音'!C15+'抖音达播'!C15+'快手'!C15</f>
      </c>
      <c r="D15" s="95">
        <f>+'抖音'!D15+'抖音达播'!D15+'快手'!D15</f>
      </c>
      <c r="E15" s="95">
        <f>+'抖音'!E15+'抖音达播'!E15+'快手'!E15</f>
      </c>
      <c r="F15" s="95">
        <f>+'抖音'!F15+'抖音达播'!F15+'快手'!F15</f>
      </c>
      <c r="G15" s="95">
        <f>+'抖音'!G15+'抖音达播'!G15+'快手'!G15</f>
      </c>
      <c r="H15" s="95">
        <f>+'抖音'!H15+'抖音达播'!H15+'快手'!H15</f>
      </c>
      <c r="I15" s="95">
        <f>+'抖音'!I15+'抖音达播'!I15+'快手'!I15</f>
      </c>
      <c r="J15" s="95">
        <f>+'抖音'!J15+'抖音达播'!J15+'快手'!J15</f>
      </c>
      <c r="K15" s="95">
        <f>+'抖音'!K15+'抖音达播'!K15+'快手'!K15</f>
      </c>
      <c r="L15" s="95">
        <f>+'抖音'!L15+'抖音达播'!L15+'快手'!L15</f>
      </c>
      <c r="M15" s="95">
        <f>+'抖音'!M15+'抖音达播'!M15+'快手'!M15</f>
      </c>
      <c r="N15" s="95">
        <f>+'抖音'!N15+'抖音达播'!N15+'快手'!N15</f>
      </c>
      <c r="O15" s="95">
        <f>SUM(C15:N15)</f>
      </c>
      <c r="P15" s="95"/>
      <c r="Q15" s="1"/>
    </row>
    <row r="16">
      <c r="A16" s="97"/>
      <c r="B16" s="98" t="str">
        <v>营业收入</v>
      </c>
      <c r="C16" s="95">
        <f>+'抖音'!C16+'抖音达播'!C16+'快手'!C16</f>
      </c>
      <c r="D16" s="95">
        <f>+'抖音'!D16+'抖音达播'!D16+'快手'!D16</f>
      </c>
      <c r="E16" s="95">
        <f>+'抖音'!E16+'抖音达播'!E16+'快手'!E16</f>
      </c>
      <c r="F16" s="95">
        <f>+'抖音'!F16+'抖音达播'!F16+'快手'!F16</f>
      </c>
      <c r="G16" s="95">
        <f>+'抖音'!G16+'抖音达播'!G16+'快手'!G16</f>
      </c>
      <c r="H16" s="95">
        <f>+'抖音'!H16+'抖音达播'!H16+'快手'!H16</f>
      </c>
      <c r="I16" s="95">
        <f>+'抖音'!I16+'抖音达播'!I16+'快手'!I16</f>
      </c>
      <c r="J16" s="95">
        <f>+'抖音'!J16+'抖音达播'!J16+'快手'!J16</f>
      </c>
      <c r="K16" s="95">
        <f>+'抖音'!K16+'抖音达播'!K16+'快手'!K16</f>
      </c>
      <c r="L16" s="95">
        <f>+'抖音'!L16+'抖音达播'!L16+'快手'!L16</f>
      </c>
      <c r="M16" s="95">
        <f>+'抖音'!M16+'抖音达播'!M16+'快手'!M16</f>
      </c>
      <c r="N16" s="95">
        <f>+'抖音'!N16+'抖音达播'!N16+'快手'!N16</f>
      </c>
      <c r="O16" s="95">
        <f>SUM(C16:N16)</f>
      </c>
      <c r="P16" s="95"/>
      <c r="Q16" s="1"/>
    </row>
    <row r="17">
      <c r="C17">
        <f>+'抖音'!C17+'抖音达播'!C17+'快手'!C17</f>
      </c>
      <c r="D17">
        <f>+'抖音'!D17+'抖音达播'!D17+'快手'!D17</f>
      </c>
      <c r="E17">
        <f>+'抖音'!E17+'抖音达播'!E17+'快手'!E17</f>
      </c>
      <c r="F17">
        <f>+'抖音'!F17+'抖音达播'!F17+'快手'!F17</f>
      </c>
      <c r="G17">
        <f>+'抖音'!G17+'抖音达播'!G17+'快手'!G17</f>
      </c>
      <c r="H17">
        <f>+'抖音'!H17+'抖音达播'!H17+'快手'!H17</f>
      </c>
      <c r="I17">
        <f>+'抖音'!I17+'抖音达播'!I17+'快手'!I17</f>
      </c>
      <c r="J17">
        <f>+'抖音'!J17+'抖音达播'!J17+'快手'!J17</f>
      </c>
      <c r="K17">
        <f>+'抖音'!K17+'抖音达播'!K17+'快手'!K17</f>
      </c>
      <c r="L17">
        <f>+'抖音'!L17+'抖音达播'!L17+'快手'!L17</f>
      </c>
      <c r="M17">
        <f>+'抖音'!M17+'抖音达播'!M17+'快手'!M17</f>
      </c>
      <c r="N17">
        <f>+'抖音'!N17+'抖音达播'!N17+'快手'!N17</f>
      </c>
      <c r="Q17" s="1"/>
    </row>
    <row r="18">
      <c r="B18" s="85" t="str">
        <v>标准主品配件成本</v>
      </c>
      <c r="C18" s="84">
        <f>+'抖音'!C18+'抖音达播'!C18+'快手'!C18</f>
      </c>
      <c r="D18" s="84">
        <f>+'抖音'!D18+'抖音达播'!D18+'快手'!D18</f>
      </c>
      <c r="E18" s="84">
        <f>+'抖音'!E18+'抖音达播'!E18+'快手'!E18</f>
      </c>
      <c r="F18" s="84">
        <f>+'抖音'!F18+'抖音达播'!F18+'快手'!F18</f>
      </c>
      <c r="G18" s="84">
        <f>+'抖音'!G18+'抖音达播'!G18+'快手'!G18</f>
      </c>
      <c r="H18" s="84">
        <f>+'抖音'!H18+'抖音达播'!H18+'快手'!H18</f>
      </c>
      <c r="I18" s="84">
        <f>+'抖音'!I18+'抖音达播'!I18+'快手'!I18</f>
      </c>
      <c r="J18" s="84">
        <f>+'抖音'!J18+'抖音达播'!J18+'快手'!J18</f>
      </c>
      <c r="K18" s="84">
        <f>+'抖音'!K18+'抖音达播'!K18+'快手'!K18</f>
      </c>
      <c r="L18" s="84">
        <f>+'抖音'!L18+'抖音达播'!L18+'快手'!L18</f>
      </c>
      <c r="M18" s="84">
        <f>+'抖音'!M18+'抖音达播'!M18+'快手'!M18</f>
      </c>
      <c r="N18" s="84">
        <f>+'抖音'!N18+'抖音达播'!N18+'快手'!N18</f>
      </c>
      <c r="O18" s="84">
        <f>SUM(C18:N18)</f>
      </c>
      <c r="P18" s="86">
        <f>O18/O16</f>
      </c>
      <c r="Q18" s="1"/>
    </row>
    <row r="19">
      <c r="B19" s="83" t="str">
        <v>产品毛利</v>
      </c>
      <c r="C19" s="81">
        <f>+'抖音'!C19+'抖音达播'!C19+'快手'!C19</f>
      </c>
      <c r="D19" s="81">
        <f>+'抖音'!D19+'抖音达播'!D19+'快手'!D19</f>
      </c>
      <c r="E19" s="81">
        <f>+'抖音'!E19+'抖音达播'!E19+'快手'!E19</f>
      </c>
      <c r="F19" s="81">
        <f>+'抖音'!F19+'抖音达播'!F19+'快手'!F19</f>
      </c>
      <c r="G19" s="81">
        <f>+'抖音'!G19+'抖音达播'!G19+'快手'!G19</f>
      </c>
      <c r="H19" s="81">
        <f>+'抖音'!H19+'抖音达播'!H19+'快手'!H19</f>
      </c>
      <c r="I19" s="81">
        <f>+'抖音'!I19+'抖音达播'!I19+'快手'!I19</f>
      </c>
      <c r="J19" s="81">
        <f>+'抖音'!J19+'抖音达播'!J19+'快手'!J19</f>
      </c>
      <c r="K19" s="81">
        <f>+'抖音'!K19+'抖音达播'!K19+'快手'!K19</f>
      </c>
      <c r="L19" s="81">
        <f>+'抖音'!L19+'抖音达播'!L19+'快手'!L19</f>
      </c>
      <c r="M19" s="81">
        <f>+'抖音'!M19+'抖音达播'!M19+'快手'!M19</f>
      </c>
      <c r="N19" s="81">
        <f>+'抖音'!N19+'抖音达播'!N19+'快手'!N19</f>
      </c>
      <c r="O19" s="81">
        <f>SUM(C19:N19)</f>
      </c>
      <c r="P19" s="82">
        <f>O19/$O$16</f>
      </c>
      <c r="Q19" s="1"/>
    </row>
    <row r="20">
      <c r="A20" s="88"/>
      <c r="B20" s="90" t="str">
        <v>头程/尾程物流/仓储费用</v>
      </c>
      <c r="C20" s="110">
        <f>+'抖音'!C20+'抖音达播'!C20+'快手'!C20</f>
      </c>
      <c r="D20" s="110">
        <f>+'抖音'!D20+'抖音达播'!D20+'快手'!D20</f>
      </c>
      <c r="E20" s="110">
        <f>+'抖音'!E20+'抖音达播'!E20+'快手'!E20</f>
      </c>
      <c r="F20" s="110">
        <f>+'抖音'!F20+'抖音达播'!F20+'快手'!F20</f>
      </c>
      <c r="G20" s="110">
        <f>+'抖音'!G20+'抖音达播'!G20+'快手'!G20</f>
      </c>
      <c r="H20" s="110">
        <f>+'抖音'!H20+'抖音达播'!H20+'快手'!H20</f>
      </c>
      <c r="I20" s="110">
        <f>+'抖音'!I20+'抖音达播'!I20+'快手'!I20</f>
      </c>
      <c r="J20" s="110">
        <f>+'抖音'!J20+'抖音达播'!J20+'快手'!J20</f>
      </c>
      <c r="K20" s="110">
        <f>+'抖音'!K20+'抖音达播'!K20+'快手'!K20</f>
      </c>
      <c r="L20" s="110">
        <f>+'抖音'!L20+'抖音达播'!L20+'快手'!L20</f>
      </c>
      <c r="M20" s="110">
        <f>+'抖音'!M20+'抖音达播'!M20+'快手'!M20</f>
      </c>
      <c r="N20" s="110">
        <f>+'抖音'!N20+'抖音达播'!N20+'快手'!N20</f>
      </c>
      <c r="O20" s="110">
        <f>SUM(C20:N20)</f>
      </c>
      <c r="P20" s="111">
        <v>0.025</v>
      </c>
      <c r="Q20" s="1"/>
    </row>
    <row r="21">
      <c r="B21" s="83" t="str">
        <v>成本合计（产品+物流）</v>
      </c>
      <c r="C21" s="81">
        <f>+'抖音'!C21+'抖音达播'!C21+'快手'!C21</f>
      </c>
      <c r="D21" s="81">
        <f>+'抖音'!D21+'抖音达播'!D21+'快手'!D21</f>
      </c>
      <c r="E21" s="81">
        <f>+'抖音'!E21+'抖音达播'!E21+'快手'!E21</f>
      </c>
      <c r="F21" s="81">
        <f>+'抖音'!F21+'抖音达播'!F21+'快手'!F21</f>
      </c>
      <c r="G21" s="81">
        <f>+'抖音'!G21+'抖音达播'!G21+'快手'!G21</f>
      </c>
      <c r="H21" s="81">
        <f>+'抖音'!H21+'抖音达播'!H21+'快手'!H21</f>
      </c>
      <c r="I21" s="81">
        <f>+'抖音'!I21+'抖音达播'!I21+'快手'!I21</f>
      </c>
      <c r="J21" s="81">
        <f>+'抖音'!J21+'抖音达播'!J21+'快手'!J21</f>
      </c>
      <c r="K21" s="81">
        <f>+'抖音'!K21+'抖音达播'!K21+'快手'!K21</f>
      </c>
      <c r="L21" s="81">
        <f>+'抖音'!L21+'抖音达播'!L21+'快手'!L21</f>
      </c>
      <c r="M21" s="81">
        <f>+'抖音'!M21+'抖音达播'!M21+'快手'!M21</f>
      </c>
      <c r="N21" s="81">
        <f>+'抖音'!N21+'抖音达播'!N21+'快手'!N21</f>
      </c>
      <c r="O21" s="81">
        <f>SUM(C21:N21)</f>
      </c>
      <c r="P21" s="82">
        <f>O21/$O$16</f>
      </c>
      <c r="Q21" s="1"/>
    </row>
    <row r="22">
      <c r="A22" s="97"/>
      <c r="B22" s="98" t="str">
        <v>净毛利</v>
      </c>
      <c r="C22" s="95">
        <f>+'抖音'!C22+'抖音达播'!C22+'快手'!C22</f>
      </c>
      <c r="D22" s="95">
        <f>+'抖音'!D22+'抖音达播'!D22+'快手'!D22</f>
      </c>
      <c r="E22" s="95">
        <f>+'抖音'!E22+'抖音达播'!E22+'快手'!E22</f>
      </c>
      <c r="F22" s="95">
        <f>+'抖音'!F22+'抖音达播'!F22+'快手'!F22</f>
      </c>
      <c r="G22" s="95">
        <f>+'抖音'!G22+'抖音达播'!G22+'快手'!G22</f>
      </c>
      <c r="H22" s="95">
        <f>+'抖音'!H22+'抖音达播'!H22+'快手'!H22</f>
      </c>
      <c r="I22" s="95">
        <f>+'抖音'!I22+'抖音达播'!I22+'快手'!I22</f>
      </c>
      <c r="J22" s="95">
        <f>+'抖音'!J22+'抖音达播'!J22+'快手'!J22</f>
      </c>
      <c r="K22" s="95">
        <f>+'抖音'!K22+'抖音达播'!K22+'快手'!K22</f>
      </c>
      <c r="L22" s="95">
        <f>+'抖音'!L22+'抖音达播'!L22+'快手'!L22</f>
      </c>
      <c r="M22" s="95">
        <f>+'抖音'!M22+'抖音达播'!M22+'快手'!M22</f>
      </c>
      <c r="N22" s="95">
        <f>+'抖音'!N22+'抖音达播'!N22+'快手'!N22</f>
      </c>
      <c r="O22" s="95">
        <f>SUM(C22:N22)</f>
      </c>
      <c r="P22" s="96">
        <f>O22/$O$16</f>
      </c>
      <c r="Q22" s="1"/>
    </row>
    <row r="23"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91"/>
      <c r="Q23" s="1"/>
    </row>
    <row r="24">
      <c r="B24" s="102" t="str">
        <v>合计毛利率</v>
      </c>
      <c r="C24" s="101">
        <f>IFERROR(1-C21/C16,0)</f>
      </c>
      <c r="D24" s="101">
        <f>IFERROR(1-D21/D16,0)</f>
      </c>
      <c r="E24" s="101">
        <f>IFERROR(1-E21/E16,0)</f>
      </c>
      <c r="F24" s="101">
        <f>IFERROR(1-F21/F16,0)</f>
      </c>
      <c r="G24" s="101">
        <f>IFERROR(1-G21/G16,0)</f>
      </c>
      <c r="H24" s="101">
        <f>IFERROR(1-H21/H16,0)</f>
      </c>
      <c r="I24" s="101">
        <f>IFERROR(1-I21/I16,0)</f>
      </c>
      <c r="J24" s="101">
        <f>IFERROR(1-J21/J16,0)</f>
      </c>
      <c r="K24" s="101">
        <f>IFERROR(1-K21/K16,0)</f>
      </c>
      <c r="L24" s="101">
        <f>IFERROR(1-L21/L16,0)</f>
      </c>
      <c r="M24" s="101">
        <f>IFERROR(1-M21/M16,0)</f>
      </c>
      <c r="N24" s="101">
        <f>IFERROR(1-N21/N16,0)</f>
      </c>
      <c r="O24" s="101">
        <f>IFERROR(1-O21/O16,0)</f>
      </c>
      <c r="P24" s="91"/>
      <c r="Q24" s="1"/>
    </row>
    <row r="25"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91"/>
      <c r="Q25" s="1"/>
    </row>
    <row r="26">
      <c r="B26" s="85" t="str">
        <v>品牌及内容费用</v>
      </c>
      <c r="C26" s="84">
        <f>+'抖音'!C26+'抖音达播'!C26+'快手'!C26</f>
      </c>
      <c r="D26" s="84">
        <f>+'抖音'!D26+'抖音达播'!D26+'快手'!D26</f>
      </c>
      <c r="E26" s="84">
        <f>+'抖音'!E26+'抖音达播'!E26+'快手'!E26</f>
      </c>
      <c r="F26" s="84">
        <f>+'抖音'!F26+'抖音达播'!F26+'快手'!F26</f>
      </c>
      <c r="G26" s="84">
        <f>+'抖音'!G26+'抖音达播'!G26+'快手'!G26</f>
      </c>
      <c r="H26" s="84">
        <f>+'抖音'!H26+'抖音达播'!H26+'快手'!H26</f>
      </c>
      <c r="I26" s="84">
        <f>+'抖音'!I26+'抖音达播'!I26+'快手'!I26</f>
      </c>
      <c r="J26" s="84">
        <f>+'抖音'!J26+'抖音达播'!J26+'快手'!J26</f>
      </c>
      <c r="K26" s="84">
        <f>+'抖音'!K26+'抖音达播'!K26+'快手'!K26</f>
      </c>
      <c r="L26" s="84">
        <f>+'抖音'!L26+'抖音达播'!L26+'快手'!L26</f>
      </c>
      <c r="M26" s="84">
        <f>+'抖音'!M26+'抖音达播'!M26+'快手'!M26</f>
      </c>
      <c r="N26" s="84">
        <f>+'抖音'!N26+'抖音达播'!N26+'快手'!N26</f>
      </c>
      <c r="O26" s="84">
        <f>SUM(C26:N26)</f>
      </c>
      <c r="P26" s="86">
        <f>O26/$O$16</f>
      </c>
      <c r="Q26" s="1"/>
    </row>
    <row r="27">
      <c r="A27" s="88"/>
      <c r="B27" s="90" t="str">
        <v>展会</v>
      </c>
      <c r="C27" s="89">
        <f>+'抖音'!C27+'抖音达播'!C27+'快手'!C27</f>
      </c>
      <c r="D27" s="89">
        <f>+'抖音'!D27+'抖音达播'!D27+'快手'!D27</f>
      </c>
      <c r="E27" s="89">
        <f>+'抖音'!E27+'抖音达播'!E27+'快手'!E27</f>
      </c>
      <c r="F27" s="89">
        <f>+'抖音'!F27+'抖音达播'!F27+'快手'!F27</f>
      </c>
      <c r="G27" s="89">
        <f>+'抖音'!G27+'抖音达播'!G27+'快手'!G27</f>
      </c>
      <c r="H27" s="89">
        <f>+'抖音'!H27+'抖音达播'!H27+'快手'!H27</f>
      </c>
      <c r="I27" s="89">
        <f>+'抖音'!I27+'抖音达播'!I27+'快手'!I27</f>
      </c>
      <c r="J27" s="89">
        <f>+'抖音'!J27+'抖音达播'!J27+'快手'!J27</f>
      </c>
      <c r="K27" s="89">
        <f>+'抖音'!K27+'抖音达播'!K27+'快手'!K27</f>
      </c>
      <c r="L27" s="89">
        <f>+'抖音'!L27+'抖音达播'!L27+'快手'!L27</f>
      </c>
      <c r="M27" s="89">
        <f>+'抖音'!M27+'抖音达播'!M27+'快手'!M27</f>
      </c>
      <c r="N27" s="89">
        <f>+'抖音'!N27+'抖音达播'!N27+'快手'!N27</f>
      </c>
      <c r="O27" s="88">
        <f>SUM(C27:N27)</f>
      </c>
      <c r="P27" s="91">
        <f>O27/$O$16</f>
      </c>
      <c r="Q27" s="90"/>
    </row>
    <row r="28">
      <c r="A28" s="88"/>
      <c r="B28" s="90" t="str">
        <v>品牌营销</v>
      </c>
      <c r="C28" s="89">
        <f>+'抖音'!C28+'抖音达播'!C28+'快手'!C28</f>
      </c>
      <c r="D28" s="89">
        <f>+'抖音'!D28+'抖音达播'!D28+'快手'!D28</f>
      </c>
      <c r="E28" s="89">
        <f>+'抖音'!E28+'抖音达播'!E28+'快手'!E28</f>
      </c>
      <c r="F28" s="89">
        <f>+'抖音'!F28+'抖音达播'!F28+'快手'!F28</f>
      </c>
      <c r="G28" s="89">
        <f>+'抖音'!G28+'抖音达播'!G28+'快手'!G28</f>
      </c>
      <c r="H28" s="89">
        <f>+'抖音'!H28+'抖音达播'!H28+'快手'!H28</f>
      </c>
      <c r="I28" s="89">
        <f>+'抖音'!I28+'抖音达播'!I28+'快手'!I28</f>
      </c>
      <c r="J28" s="89">
        <f>+'抖音'!J28+'抖音达播'!J28+'快手'!J28</f>
      </c>
      <c r="K28" s="89">
        <f>+'抖音'!K28+'抖音达播'!K28+'快手'!K28</f>
      </c>
      <c r="L28" s="89">
        <f>+'抖音'!L28+'抖音达播'!L28+'快手'!L28</f>
      </c>
      <c r="M28" s="89">
        <f>+'抖音'!M28+'抖音达播'!M28+'快手'!M28</f>
      </c>
      <c r="N28" s="89">
        <f>+'抖音'!N28+'抖音达播'!N28+'快手'!N28</f>
      </c>
      <c r="O28" s="88">
        <f>SUM(C28:N28)</f>
      </c>
      <c r="P28" s="91">
        <f>O28/$O$16</f>
      </c>
      <c r="Q28" s="164" t="str">
        <v>注：每个月增加29854品专费用</v>
      </c>
    </row>
    <row r="29">
      <c r="A29" s="88"/>
      <c r="B29" s="90" t="str">
        <v>内容素材制作</v>
      </c>
      <c r="C29" s="89">
        <f>+'抖音'!C29+'抖音达播'!C29+'快手'!C29</f>
      </c>
      <c r="D29" s="89">
        <f>+'抖音'!D29+'抖音达播'!D29+'快手'!D29</f>
      </c>
      <c r="E29" s="89">
        <f>+'抖音'!E29+'抖音达播'!E29+'快手'!E29</f>
      </c>
      <c r="F29" s="89">
        <f>+'抖音'!F29+'抖音达播'!F29+'快手'!F29</f>
      </c>
      <c r="G29" s="89">
        <f>+'抖音'!G29+'抖音达播'!G29+'快手'!G29</f>
      </c>
      <c r="H29" s="89">
        <f>+'抖音'!H29+'抖音达播'!H29+'快手'!H29</f>
      </c>
      <c r="I29" s="89">
        <f>+'抖音'!I29+'抖音达播'!I29+'快手'!I29</f>
      </c>
      <c r="J29" s="89">
        <f>+'抖音'!J29+'抖音达播'!J29+'快手'!J29</f>
      </c>
      <c r="K29" s="89">
        <f>+'抖音'!K29+'抖音达播'!K29+'快手'!K29</f>
      </c>
      <c r="L29" s="89">
        <f>+'抖音'!L29+'抖音达播'!L29+'快手'!L29</f>
      </c>
      <c r="M29" s="89">
        <f>+'抖音'!M29+'抖音达播'!M29+'快手'!M29</f>
      </c>
      <c r="N29" s="89">
        <f>+'抖音'!N29+'抖音达播'!N29+'快手'!N29</f>
      </c>
      <c r="O29" s="88">
        <f>SUM(C29:N29)</f>
      </c>
      <c r="P29" s="91">
        <f>O29/$O$16</f>
      </c>
      <c r="Q29" s="1"/>
    </row>
    <row r="30">
      <c r="A30" s="88"/>
      <c r="B30" s="90" t="str">
        <v>公关费用</v>
      </c>
      <c r="C30" s="89">
        <f>+'抖音'!C30+'抖音达播'!C30+'快手'!C30</f>
      </c>
      <c r="D30" s="89">
        <f>+'抖音'!D30+'抖音达播'!D30+'快手'!D30</f>
      </c>
      <c r="E30" s="89">
        <f>+'抖音'!E30+'抖音达播'!E30+'快手'!E30</f>
      </c>
      <c r="F30" s="89">
        <f>+'抖音'!F30+'抖音达播'!F30+'快手'!F30</f>
      </c>
      <c r="G30" s="89">
        <f>+'抖音'!G30+'抖音达播'!G30+'快手'!G30</f>
      </c>
      <c r="H30" s="89">
        <f>+'抖音'!H30+'抖音达播'!H30+'快手'!H30</f>
      </c>
      <c r="I30" s="89">
        <f>+'抖音'!I30+'抖音达播'!I30+'快手'!I30</f>
      </c>
      <c r="J30" s="89">
        <f>+'抖音'!J30+'抖音达播'!J30+'快手'!J30</f>
      </c>
      <c r="K30" s="89">
        <f>+'抖音'!K30+'抖音达播'!K30+'快手'!K30</f>
      </c>
      <c r="L30" s="89">
        <f>+'抖音'!L30+'抖音达播'!L30+'快手'!L30</f>
      </c>
      <c r="M30" s="89">
        <f>+'抖音'!M30+'抖音达播'!M30+'快手'!M30</f>
      </c>
      <c r="N30" s="89">
        <f>+'抖音'!N30+'抖音达播'!N30+'快手'!N30</f>
      </c>
      <c r="O30" s="88">
        <f>SUM(C30:N30)</f>
      </c>
      <c r="P30" s="91">
        <f>O30/$O$16</f>
      </c>
      <c r="Q30" s="1"/>
    </row>
    <row r="31">
      <c r="A31" s="88"/>
      <c r="B31" s="90" t="str">
        <v>达人种草、样机及加热</v>
      </c>
      <c r="C31" s="89">
        <f>+'抖音'!C31+'抖音达播'!C31+'快手'!C31</f>
      </c>
      <c r="D31" s="89">
        <f>+'抖音'!D31+'抖音达播'!D31+'快手'!D31</f>
      </c>
      <c r="E31" s="89">
        <f>+'抖音'!E31+'抖音达播'!E31+'快手'!E31</f>
      </c>
      <c r="F31" s="89">
        <f>+'抖音'!F31+'抖音达播'!F31+'快手'!F31</f>
      </c>
      <c r="G31" s="89">
        <f>+'抖音'!G31+'抖音达播'!G31+'快手'!G31</f>
      </c>
      <c r="H31" s="89">
        <f>+'抖音'!H31+'抖音达播'!H31+'快手'!H31</f>
      </c>
      <c r="I31" s="89">
        <f>+'抖音'!I31+'抖音达播'!I31+'快手'!I31</f>
      </c>
      <c r="J31" s="89">
        <f>+'抖音'!J31+'抖音达播'!J31+'快手'!J31</f>
      </c>
      <c r="K31" s="89">
        <f>+'抖音'!K31+'抖音达播'!K31+'快手'!K31</f>
      </c>
      <c r="L31" s="89">
        <f>+'抖音'!L31+'抖音达播'!L31+'快手'!L31</f>
      </c>
      <c r="M31" s="89">
        <f>+'抖音'!M31+'抖音达播'!M31+'快手'!M31</f>
      </c>
      <c r="N31" s="89">
        <f>+'抖音'!N31+'抖音达播'!N31+'快手'!N31</f>
      </c>
      <c r="O31" s="88">
        <f>SUM(C31:N31)</f>
      </c>
      <c r="P31" s="91">
        <f>O31/$O$16</f>
      </c>
      <c r="Q31" s="1"/>
    </row>
    <row outlineLevel="1" r="32">
      <c r="A32" s="88"/>
      <c r="B32" s="90" t="str">
        <v>展会(费率)</v>
      </c>
      <c r="C32" s="88">
        <f>+'抖音'!C32+'抖音达播'!C32+'快手'!C32</f>
      </c>
      <c r="D32" s="88">
        <f>+'抖音'!D32+'抖音达播'!D32+'快手'!D32</f>
      </c>
      <c r="E32" s="88">
        <f>+'抖音'!E32+'抖音达播'!E32+'快手'!E32</f>
      </c>
      <c r="F32" s="88">
        <f>+'抖音'!F32+'抖音达播'!F32+'快手'!F32</f>
      </c>
      <c r="G32" s="88">
        <f>+'抖音'!G32+'抖音达播'!G32+'快手'!G32</f>
      </c>
      <c r="H32" s="88">
        <f>+'抖音'!H32+'抖音达播'!H32+'快手'!H32</f>
      </c>
      <c r="I32" s="88">
        <f>+'抖音'!I32+'抖音达播'!I32+'快手'!I32</f>
      </c>
      <c r="J32" s="88">
        <f>+'抖音'!J32+'抖音达播'!J32+'快手'!J32</f>
      </c>
      <c r="K32" s="88">
        <f>+'抖音'!K32+'抖音达播'!K32+'快手'!K32</f>
      </c>
      <c r="L32" s="88">
        <f>+'抖音'!L32+'抖音达播'!L32+'快手'!L32</f>
      </c>
      <c r="M32" s="88">
        <f>+'抖音'!M32+'抖音达播'!M32+'快手'!M32</f>
      </c>
      <c r="N32" s="88">
        <f>+'抖音'!N32+'抖音达播'!N32+'快手'!N32</f>
      </c>
      <c r="O32" s="88"/>
      <c r="P32" s="91"/>
      <c r="Q32" s="1"/>
    </row>
    <row outlineLevel="1" r="33">
      <c r="A33" s="88"/>
      <c r="B33" s="90" t="str">
        <v>品牌营销（费率）</v>
      </c>
      <c r="C33" s="88">
        <f>+'抖音'!C33+'抖音达播'!C33+'快手'!C33</f>
      </c>
      <c r="D33" s="88">
        <f>+'抖音'!D33+'抖音达播'!D33+'快手'!D33</f>
      </c>
      <c r="E33" s="88">
        <f>+'抖音'!E33+'抖音达播'!E33+'快手'!E33</f>
      </c>
      <c r="F33" s="88">
        <f>+'抖音'!F33+'抖音达播'!F33+'快手'!F33</f>
      </c>
      <c r="G33" s="88">
        <f>+'抖音'!G33+'抖音达播'!G33+'快手'!G33</f>
      </c>
      <c r="H33" s="88">
        <f>+'抖音'!H33+'抖音达播'!H33+'快手'!H33</f>
      </c>
      <c r="I33" s="88">
        <f>+'抖音'!I33+'抖音达播'!I33+'快手'!I33</f>
      </c>
      <c r="J33" s="88">
        <f>+'抖音'!J33+'抖音达播'!J33+'快手'!J33</f>
      </c>
      <c r="K33" s="88">
        <f>+'抖音'!K33+'抖音达播'!K33+'快手'!K33</f>
      </c>
      <c r="L33" s="88">
        <f>+'抖音'!L33+'抖音达播'!L33+'快手'!L33</f>
      </c>
      <c r="M33" s="88">
        <f>+'抖音'!M33+'抖音达播'!M33+'快手'!M33</f>
      </c>
      <c r="N33" s="88">
        <f>+'抖音'!N33+'抖音达播'!N33+'快手'!N33</f>
      </c>
      <c r="O33" s="88"/>
      <c r="P33" s="91"/>
      <c r="Q33" s="1"/>
    </row>
    <row outlineLevel="1" r="34">
      <c r="A34" s="88"/>
      <c r="B34" s="90" t="str">
        <v>内容素材制作（费率）</v>
      </c>
      <c r="C34" s="88">
        <f>+'抖音'!C34+'抖音达播'!C34+'快手'!C34</f>
      </c>
      <c r="D34" s="88">
        <f>+'抖音'!D34+'抖音达播'!D34+'快手'!D34</f>
      </c>
      <c r="E34" s="88">
        <f>+'抖音'!E34+'抖音达播'!E34+'快手'!E34</f>
      </c>
      <c r="F34" s="88">
        <f>+'抖音'!F34+'抖音达播'!F34+'快手'!F34</f>
      </c>
      <c r="G34" s="88">
        <f>+'抖音'!G34+'抖音达播'!G34+'快手'!G34</f>
      </c>
      <c r="H34" s="88">
        <f>+'抖音'!H34+'抖音达播'!H34+'快手'!H34</f>
      </c>
      <c r="I34" s="88">
        <f>+'抖音'!I34+'抖音达播'!I34+'快手'!I34</f>
      </c>
      <c r="J34" s="88">
        <f>+'抖音'!J34+'抖音达播'!J34+'快手'!J34</f>
      </c>
      <c r="K34" s="88">
        <f>+'抖音'!K34+'抖音达播'!K34+'快手'!K34</f>
      </c>
      <c r="L34" s="88">
        <f>+'抖音'!L34+'抖音达播'!L34+'快手'!L34</f>
      </c>
      <c r="M34" s="88">
        <f>+'抖音'!M34+'抖音达播'!M34+'快手'!M34</f>
      </c>
      <c r="N34" s="88">
        <f>+'抖音'!N34+'抖音达播'!N34+'快手'!N34</f>
      </c>
      <c r="O34" s="88"/>
      <c r="P34" s="91"/>
      <c r="Q34" s="1"/>
    </row>
    <row outlineLevel="1" r="35">
      <c r="A35" s="88"/>
      <c r="B35" s="90" t="str">
        <v>公关费用（费率）</v>
      </c>
      <c r="C35" s="88">
        <f>+'抖音'!C35+'抖音达播'!C35+'快手'!C35</f>
      </c>
      <c r="D35" s="88">
        <f>+'抖音'!D35+'抖音达播'!D35+'快手'!D35</f>
      </c>
      <c r="E35" s="88">
        <f>+'抖音'!E35+'抖音达播'!E35+'快手'!E35</f>
      </c>
      <c r="F35" s="88">
        <f>+'抖音'!F35+'抖音达播'!F35+'快手'!F35</f>
      </c>
      <c r="G35" s="88">
        <f>+'抖音'!G35+'抖音达播'!G35+'快手'!G35</f>
      </c>
      <c r="H35" s="88">
        <f>+'抖音'!H35+'抖音达播'!H35+'快手'!H35</f>
      </c>
      <c r="I35" s="88">
        <f>+'抖音'!I35+'抖音达播'!I35+'快手'!I35</f>
      </c>
      <c r="J35" s="88">
        <f>+'抖音'!J35+'抖音达播'!J35+'快手'!J35</f>
      </c>
      <c r="K35" s="88">
        <f>+'抖音'!K35+'抖音达播'!K35+'快手'!K35</f>
      </c>
      <c r="L35" s="88">
        <f>+'抖音'!L35+'抖音达播'!L35+'快手'!L35</f>
      </c>
      <c r="M35" s="88">
        <f>+'抖音'!M35+'抖音达播'!M35+'快手'!M35</f>
      </c>
      <c r="N35" s="88">
        <f>+'抖音'!N35+'抖音达播'!N35+'快手'!N35</f>
      </c>
      <c r="O35" s="88"/>
      <c r="P35" s="91"/>
      <c r="Q35" s="1"/>
    </row>
    <row outlineLevel="1" r="36">
      <c r="A36" s="88"/>
      <c r="B36" s="90" t="str">
        <v>达人种草、样机及加热（费率）</v>
      </c>
      <c r="C36" s="105">
        <f>+'抖音'!C36+'抖音达播'!C36+'快手'!C36</f>
      </c>
      <c r="D36" s="105">
        <f>+'抖音'!D36+'抖音达播'!D36+'快手'!D36</f>
      </c>
      <c r="E36" s="105">
        <f>+'抖音'!E36+'抖音达播'!E36+'快手'!E36</f>
      </c>
      <c r="F36" s="105">
        <f>+'抖音'!F36+'抖音达播'!F36+'快手'!F36</f>
      </c>
      <c r="G36" s="105">
        <f>+'抖音'!G36+'抖音达播'!G36+'快手'!G36</f>
      </c>
      <c r="H36" s="105">
        <f>+'抖音'!H36+'抖音达播'!H36+'快手'!H36</f>
      </c>
      <c r="I36" s="105">
        <f>+'抖音'!I36+'抖音达播'!I36+'快手'!I36</f>
      </c>
      <c r="J36" s="105">
        <f>+'抖音'!J36+'抖音达播'!J36+'快手'!J36</f>
      </c>
      <c r="K36" s="105">
        <f>+'抖音'!K36+'抖音达播'!K36+'快手'!K36</f>
      </c>
      <c r="L36" s="105">
        <f>+'抖音'!L36+'抖音达播'!L36+'快手'!L36</f>
      </c>
      <c r="M36" s="105">
        <f>+'抖音'!M36+'抖音达播'!M36+'快手'!M36</f>
      </c>
      <c r="N36" s="105">
        <f>+'抖音'!N36+'抖音达播'!N36+'快手'!N36</f>
      </c>
      <c r="O36" s="88"/>
      <c r="P36" s="91"/>
      <c r="Q36" s="1"/>
    </row>
    <row r="37">
      <c r="B37" s="85" t="str">
        <v>效果广告</v>
      </c>
      <c r="C37" s="84">
        <f>+'抖音'!C37+'抖音达播'!C37+'快手'!C37</f>
      </c>
      <c r="D37" s="84">
        <f>+'抖音'!D37+'抖音达播'!D37+'快手'!D37</f>
      </c>
      <c r="E37" s="84">
        <f>+'抖音'!E37+'抖音达播'!E37+'快手'!E37</f>
      </c>
      <c r="F37" s="84">
        <f>+'抖音'!F37+'抖音达播'!F37+'快手'!F37</f>
      </c>
      <c r="G37" s="84">
        <f>+'抖音'!G37+'抖音达播'!G37+'快手'!G37</f>
      </c>
      <c r="H37" s="84">
        <f>+'抖音'!H37+'抖音达播'!H37+'快手'!H37</f>
      </c>
      <c r="I37" s="84">
        <f>+'抖音'!I37+'抖音达播'!I37+'快手'!I37</f>
      </c>
      <c r="J37" s="84">
        <f>+'抖音'!J37+'抖音达播'!J37+'快手'!J37</f>
      </c>
      <c r="K37" s="84">
        <f>+'抖音'!K37+'抖音达播'!K37+'快手'!K37</f>
      </c>
      <c r="L37" s="84">
        <f>+'抖音'!L37+'抖音达播'!L37+'快手'!L37</f>
      </c>
      <c r="M37" s="84">
        <f>+'抖音'!M37+'抖音达播'!M37+'快手'!M37</f>
      </c>
      <c r="N37" s="84">
        <f>+'抖音'!N37+'抖音达播'!N37+'快手'!N37</f>
      </c>
      <c r="O37" s="84">
        <f>SUM(C37:N37)</f>
      </c>
      <c r="P37" s="86">
        <f>O37/$O$16</f>
      </c>
      <c r="Q37" s="1"/>
    </row>
    <row r="38">
      <c r="A38" s="88"/>
      <c r="B38" s="90" t="str">
        <v>站内投放</v>
      </c>
      <c r="C38" s="99">
        <f>+'抖音'!C38+'抖音达播'!C38+'快手'!C38</f>
      </c>
      <c r="D38" s="99">
        <f>+'抖音'!D38+'抖音达播'!D38+'快手'!D38</f>
      </c>
      <c r="E38" s="99">
        <f>+'抖音'!E38+'抖音达播'!E38+'快手'!E38</f>
      </c>
      <c r="F38" s="99">
        <f>+'抖音'!F38+'抖音达播'!F38+'快手'!F38</f>
      </c>
      <c r="G38" s="99">
        <f>+'抖音'!G38+'抖音达播'!G38+'快手'!G38</f>
      </c>
      <c r="H38" s="99">
        <f>+'抖音'!H38+'抖音达播'!H38+'快手'!H38</f>
      </c>
      <c r="I38" s="99">
        <f>+'抖音'!I38+'抖音达播'!I38+'快手'!I38</f>
      </c>
      <c r="J38" s="99">
        <f>+'抖音'!J38+'抖音达播'!J38+'快手'!J38</f>
      </c>
      <c r="K38" s="99">
        <f>+'抖音'!K38+'抖音达播'!K38+'快手'!K38</f>
      </c>
      <c r="L38" s="99">
        <f>+'抖音'!L38+'抖音达播'!L38+'快手'!L38</f>
      </c>
      <c r="M38" s="99">
        <f>+'抖音'!M38+'抖音达播'!M38+'快手'!M38</f>
      </c>
      <c r="N38" s="99">
        <f>+'抖音'!N38+'抖音达播'!N38+'快手'!N38</f>
      </c>
      <c r="O38" s="88"/>
      <c r="P38" s="91">
        <f>O38/$O$16</f>
      </c>
      <c r="Q38" s="1" t="str">
        <v>投放填写</v>
      </c>
    </row>
    <row r="39">
      <c r="A39" s="88"/>
      <c r="B39" s="90" t="str">
        <v>千川投放</v>
      </c>
      <c r="C39" s="99">
        <f>+'抖音'!C39+'抖音达播'!C39+'快手'!C39</f>
      </c>
      <c r="D39" s="99">
        <f>+'抖音'!D39+'抖音达播'!D39+'快手'!D39</f>
      </c>
      <c r="E39" s="99">
        <f>+'抖音'!E39+'抖音达播'!E39+'快手'!E39</f>
      </c>
      <c r="F39" s="99">
        <f>+'抖音'!F39+'抖音达播'!F39+'快手'!F39</f>
      </c>
      <c r="G39" s="99">
        <f>+'抖音'!G39+'抖音达播'!G39+'快手'!G39</f>
      </c>
      <c r="H39" s="99">
        <f>+'抖音'!H39+'抖音达播'!H39+'快手'!H39</f>
      </c>
      <c r="I39" s="99">
        <f>+'抖音'!I39+'抖音达播'!I39+'快手'!I39</f>
      </c>
      <c r="J39" s="99">
        <f>+'抖音'!J39+'抖音达播'!J39+'快手'!J39</f>
      </c>
      <c r="K39" s="99">
        <f>+'抖音'!K39+'抖音达播'!K39+'快手'!K39</f>
      </c>
      <c r="L39" s="99">
        <f>+'抖音'!L39+'抖音达播'!L39+'快手'!L39</f>
      </c>
      <c r="M39" s="99">
        <f>+'抖音'!M39+'抖音达播'!M39+'快手'!M39</f>
      </c>
      <c r="N39" s="99">
        <f>+'抖音'!N39+'抖音达播'!N39+'快手'!N39</f>
      </c>
      <c r="O39" s="88">
        <f>SUM(C39:N39)</f>
      </c>
      <c r="P39" s="91">
        <f>O39/$O$16</f>
      </c>
      <c r="Q39" s="1" t="str">
        <v>投放填写</v>
      </c>
    </row>
    <row r="40">
      <c r="A40" s="88"/>
      <c r="B40" s="90" t="str">
        <v>站外投放</v>
      </c>
      <c r="C40" s="186">
        <f>+'抖音'!C40+'抖音达播'!C40+'快手'!C40</f>
      </c>
      <c r="D40" s="186">
        <f>+'抖音'!D40+'抖音达播'!D40+'快手'!D40</f>
      </c>
      <c r="E40" s="186">
        <f>+'抖音'!E40+'抖音达播'!E40+'快手'!E40</f>
      </c>
      <c r="F40" s="186">
        <f>+'抖音'!F40+'抖音达播'!F40+'快手'!F40</f>
      </c>
      <c r="G40" s="186">
        <f>+'抖音'!G40+'抖音达播'!G40+'快手'!G40</f>
      </c>
      <c r="H40" s="186">
        <f>+'抖音'!H40+'抖音达播'!H40+'快手'!H40</f>
      </c>
      <c r="I40" s="186">
        <f>+'抖音'!I40+'抖音达播'!I40+'快手'!I40</f>
      </c>
      <c r="J40" s="186">
        <f>+'抖音'!J40+'抖音达播'!J40+'快手'!J40</f>
      </c>
      <c r="K40" s="186">
        <f>+'抖音'!K40+'抖音达播'!K40+'快手'!K40</f>
      </c>
      <c r="L40" s="186">
        <f>+'抖音'!L40+'抖音达播'!L40+'快手'!L40</f>
      </c>
      <c r="M40" s="186">
        <f>+'抖音'!M40+'抖音达播'!M40+'快手'!M40</f>
      </c>
      <c r="N40" s="186">
        <f>+'抖音'!N40+'抖音达播'!N40+'快手'!N40</f>
      </c>
      <c r="O40" s="186"/>
      <c r="P40" s="91">
        <f>O40/$O$16</f>
      </c>
      <c r="Q40" s="1" t="str">
        <v>投放填写</v>
      </c>
    </row>
    <row outlineLevel="1" r="41">
      <c r="A41" s="88"/>
      <c r="B41" s="90" t="str">
        <v>站内投放（费率）</v>
      </c>
      <c r="C41" s="105">
        <f>+'抖音'!C41+'抖音达播'!C41+'快手'!C41</f>
      </c>
      <c r="D41" s="105">
        <f>+'抖音'!D41+'抖音达播'!D41+'快手'!D41</f>
      </c>
      <c r="E41" s="105">
        <f>+'抖音'!E41+'抖音达播'!E41+'快手'!E41</f>
      </c>
      <c r="F41" s="105">
        <f>+'抖音'!F41+'抖音达播'!F41+'快手'!F41</f>
      </c>
      <c r="G41" s="105">
        <f>+'抖音'!G41+'抖音达播'!G41+'快手'!G41</f>
      </c>
      <c r="H41" s="105">
        <f>+'抖音'!H41+'抖音达播'!H41+'快手'!H41</f>
      </c>
      <c r="I41" s="105">
        <f>+'抖音'!I41+'抖音达播'!I41+'快手'!I41</f>
      </c>
      <c r="J41" s="105">
        <f>+'抖音'!J41+'抖音达播'!J41+'快手'!J41</f>
      </c>
      <c r="K41" s="105">
        <f>+'抖音'!K41+'抖音达播'!K41+'快手'!K41</f>
      </c>
      <c r="L41" s="105">
        <f>+'抖音'!L41+'抖音达播'!L41+'快手'!L41</f>
      </c>
      <c r="M41" s="105">
        <f>+'抖音'!M41+'抖音达播'!M41+'快手'!M41</f>
      </c>
      <c r="N41" s="105">
        <f>+'抖音'!N41+'抖音达播'!N41+'快手'!N41</f>
      </c>
      <c r="O41" s="91">
        <f>O38/$O$16</f>
      </c>
      <c r="Q41" s="1" t="str">
        <v>投放填写</v>
      </c>
    </row>
    <row outlineLevel="1" r="42">
      <c r="A42" s="88"/>
      <c r="B42" s="90" t="str">
        <v>千川投放（费率）</v>
      </c>
      <c r="C42" s="105">
        <f>+'抖音'!C42+'抖音达播'!C42+'快手'!C42</f>
      </c>
      <c r="D42" s="105">
        <f>+'抖音'!D42+'抖音达播'!D42+'快手'!D42</f>
      </c>
      <c r="E42" s="105">
        <f>+'抖音'!E42+'抖音达播'!E42+'快手'!E42</f>
      </c>
      <c r="F42" s="105">
        <f>+'抖音'!F42+'抖音达播'!F42+'快手'!F42</f>
      </c>
      <c r="G42" s="105">
        <f>+'抖音'!G42+'抖音达播'!G42+'快手'!G42</f>
      </c>
      <c r="H42" s="105">
        <f>+'抖音'!H42+'抖音达播'!H42+'快手'!H42</f>
      </c>
      <c r="I42" s="105">
        <f>+'抖音'!I42+'抖音达播'!I42+'快手'!I42</f>
      </c>
      <c r="J42" s="105">
        <f>+'抖音'!J42+'抖音达播'!J42+'快手'!J42</f>
      </c>
      <c r="K42" s="105">
        <f>+'抖音'!K42+'抖音达播'!K42+'快手'!K42</f>
      </c>
      <c r="L42" s="105">
        <f>+'抖音'!L42+'抖音达播'!L42+'快手'!L42</f>
      </c>
      <c r="M42" s="105">
        <f>+'抖音'!M42+'抖音达播'!M42+'快手'!M42</f>
      </c>
      <c r="N42" s="105">
        <f>+'抖音'!N42+'抖音达播'!N42+'快手'!N42</f>
      </c>
      <c r="O42" s="91">
        <f>O39/$O$16</f>
      </c>
      <c r="Q42" s="1" t="str">
        <v>投放填写</v>
      </c>
    </row>
    <row outlineLevel="1" r="43">
      <c r="A43" s="88"/>
      <c r="B43" s="90" t="str">
        <v>站外投放（费率）</v>
      </c>
      <c r="C43" s="105">
        <f>+'抖音'!C43+'抖音达播'!C43+'快手'!C43</f>
      </c>
      <c r="D43" s="105">
        <f>+'抖音'!D43+'抖音达播'!D43+'快手'!D43</f>
      </c>
      <c r="E43" s="105">
        <f>+'抖音'!E43+'抖音达播'!E43+'快手'!E43</f>
      </c>
      <c r="F43" s="105">
        <f>+'抖音'!F43+'抖音达播'!F43+'快手'!F43</f>
      </c>
      <c r="G43" s="105">
        <f>+'抖音'!G43+'抖音达播'!G43+'快手'!G43</f>
      </c>
      <c r="H43" s="105">
        <f>+'抖音'!H43+'抖音达播'!H43+'快手'!H43</f>
      </c>
      <c r="I43" s="105">
        <f>+'抖音'!I43+'抖音达播'!I43+'快手'!I43</f>
      </c>
      <c r="J43" s="105">
        <f>+'抖音'!J43+'抖音达播'!J43+'快手'!J43</f>
      </c>
      <c r="K43" s="105">
        <f>+'抖音'!K43+'抖音达播'!K43+'快手'!K43</f>
      </c>
      <c r="L43" s="105">
        <f>+'抖音'!L43+'抖音达播'!L43+'快手'!L43</f>
      </c>
      <c r="M43" s="105">
        <f>+'抖音'!M43+'抖音达播'!M43+'快手'!M43</f>
      </c>
      <c r="N43" s="105">
        <f>+'抖音'!N43+'抖音达播'!N43+'快手'!N43</f>
      </c>
      <c r="O43" s="91">
        <f>O40/$O$16</f>
      </c>
      <c r="Q43" s="1" t="str">
        <v>投放填写</v>
      </c>
    </row>
    <row r="44">
      <c r="B44" s="85" t="str">
        <v>线上营销费用</v>
      </c>
      <c r="C44" s="84">
        <f>+'抖音'!C44+'抖音达播'!C44+'快手'!C44</f>
      </c>
      <c r="D44" s="84">
        <f>+'抖音'!D44+'抖音达播'!D44+'快手'!D44</f>
      </c>
      <c r="E44" s="84">
        <f>+'抖音'!E44+'抖音达播'!E44+'快手'!E44</f>
      </c>
      <c r="F44" s="84">
        <f>+'抖音'!F44+'抖音达播'!F44+'快手'!F44</f>
      </c>
      <c r="G44" s="84">
        <f>+'抖音'!G44+'抖音达播'!G44+'快手'!G44</f>
      </c>
      <c r="H44" s="84">
        <f>+'抖音'!H44+'抖音达播'!H44+'快手'!H44</f>
      </c>
      <c r="I44" s="84">
        <f>+'抖音'!I44+'抖音达播'!I44+'快手'!I44</f>
      </c>
      <c r="J44" s="84">
        <f>+'抖音'!J44+'抖音达播'!J44+'快手'!J44</f>
      </c>
      <c r="K44" s="84">
        <f>+'抖音'!K44+'抖音达播'!K44+'快手'!K44</f>
      </c>
      <c r="L44" s="84">
        <f>+'抖音'!L44+'抖音达播'!L44+'快手'!L44</f>
      </c>
      <c r="M44" s="84">
        <f>+'抖音'!M44+'抖音达播'!M44+'快手'!M44</f>
      </c>
      <c r="N44" s="84">
        <f>+'抖音'!N44+'抖音达播'!N44+'快手'!N44</f>
      </c>
      <c r="O44" s="84">
        <f>SUM(C44:N44)</f>
      </c>
      <c r="P44" s="86">
        <f>O44/$O$16</f>
      </c>
      <c r="Q44" s="1"/>
    </row>
    <row r="45">
      <c r="A45" s="88"/>
      <c r="B45" s="90" t="str">
        <v>直播费用</v>
      </c>
      <c r="C45" s="89">
        <f>+'抖音'!C45+'抖音达播'!C45+'快手'!C45</f>
      </c>
      <c r="D45" s="89">
        <f>+'抖音'!D45+'抖音达播'!D45+'快手'!D45</f>
      </c>
      <c r="E45" s="89">
        <f>+'抖音'!E45+'抖音达播'!E45+'快手'!E45</f>
      </c>
      <c r="F45" s="89">
        <f>+'抖音'!F45+'抖音达播'!F45+'快手'!F45</f>
      </c>
      <c r="G45" s="89">
        <f>+'抖音'!G45+'抖音达播'!G45+'快手'!G45</f>
      </c>
      <c r="H45" s="89">
        <f>+'抖音'!H45+'抖音达播'!H45+'快手'!H45</f>
      </c>
      <c r="I45" s="89">
        <f>+'抖音'!I45+'抖音达播'!I45+'快手'!I45</f>
      </c>
      <c r="J45" s="89">
        <f>+'抖音'!J45+'抖音达播'!J45+'快手'!J45</f>
      </c>
      <c r="K45" s="89">
        <f>+'抖音'!K45+'抖音达播'!K45+'快手'!K45</f>
      </c>
      <c r="L45" s="89">
        <f>+'抖音'!L45+'抖音达播'!L45+'快手'!L45</f>
      </c>
      <c r="M45" s="89">
        <f>+'抖音'!M45+'抖音达播'!M45+'快手'!M45</f>
      </c>
      <c r="N45" s="89">
        <f>+'抖音'!N45+'抖音达播'!N45+'快手'!N45</f>
      </c>
      <c r="O45" s="88">
        <f>SUM(C45:N45)</f>
      </c>
      <c r="P45" s="91">
        <v>0.005</v>
      </c>
      <c r="Q45" s="1" t="str">
        <v>达人填写</v>
      </c>
      <c r="R45" s="15" t="str">
        <v>1%红包、0.5%赠品</v>
      </c>
    </row>
    <row r="46">
      <c r="A46" s="88"/>
      <c r="B46" s="90" t="str">
        <v>赠品费用</v>
      </c>
      <c r="C46" s="89">
        <f>+'抖音'!C46+'抖音达播'!C46+'快手'!C46</f>
      </c>
      <c r="D46" s="89">
        <f>+'抖音'!D46+'抖音达播'!D46+'快手'!D46</f>
      </c>
      <c r="E46" s="89">
        <f>+'抖音'!E46+'抖音达播'!E46+'快手'!E46</f>
      </c>
      <c r="F46" s="89">
        <f>+'抖音'!F46+'抖音达播'!F46+'快手'!F46</f>
      </c>
      <c r="G46" s="89">
        <f>+'抖音'!G46+'抖音达播'!G46+'快手'!G46</f>
      </c>
      <c r="H46" s="89">
        <f>+'抖音'!H46+'抖音达播'!H46+'快手'!H46</f>
      </c>
      <c r="I46" s="89">
        <f>+'抖音'!I46+'抖音达播'!I46+'快手'!I46</f>
      </c>
      <c r="J46" s="89">
        <f>+'抖音'!J46+'抖音达播'!J46+'快手'!J46</f>
      </c>
      <c r="K46" s="89">
        <f>+'抖音'!K46+'抖音达播'!K46+'快手'!K46</f>
      </c>
      <c r="L46" s="89">
        <f>+'抖音'!L46+'抖音达播'!L46+'快手'!L46</f>
      </c>
      <c r="M46" s="89">
        <f>+'抖音'!M46+'抖音达播'!M46+'快手'!M46</f>
      </c>
      <c r="N46" s="89">
        <f>+'抖音'!N46+'抖音达播'!N46+'快手'!N46</f>
      </c>
      <c r="O46" s="88">
        <f>SUM(C46:N46)</f>
      </c>
      <c r="P46" s="91">
        <v>0.05</v>
      </c>
      <c r="Q46" s="90" t="str">
        <v>渠道填写</v>
      </c>
    </row>
    <row r="47">
      <c r="B47" s="85" t="str">
        <v>线下市场费用</v>
      </c>
      <c r="C47" s="84">
        <f>+'抖音'!C47+'抖音达播'!C47+'快手'!C47</f>
      </c>
      <c r="D47" s="84">
        <f>+'抖音'!D47+'抖音达播'!D47+'快手'!D47</f>
      </c>
      <c r="E47" s="84">
        <f>+'抖音'!E47+'抖音达播'!E47+'快手'!E47</f>
      </c>
      <c r="F47" s="84">
        <f>+'抖音'!F47+'抖音达播'!F47+'快手'!F47</f>
      </c>
      <c r="G47" s="84">
        <f>+'抖音'!G47+'抖音达播'!G47+'快手'!G47</f>
      </c>
      <c r="H47" s="84">
        <f>+'抖音'!H47+'抖音达播'!H47+'快手'!H47</f>
      </c>
      <c r="I47" s="84">
        <f>+'抖音'!I47+'抖音达播'!I47+'快手'!I47</f>
      </c>
      <c r="J47" s="84">
        <f>+'抖音'!J47+'抖音达播'!J47+'快手'!J47</f>
      </c>
      <c r="K47" s="84">
        <f>+'抖音'!K47+'抖音达播'!K47+'快手'!K47</f>
      </c>
      <c r="L47" s="84">
        <f>+'抖音'!L47+'抖音达播'!L47+'快手'!L47</f>
      </c>
      <c r="M47" s="84">
        <f>+'抖音'!M47+'抖音达播'!M47+'快手'!M47</f>
      </c>
      <c r="N47" s="84">
        <f>+'抖音'!N47+'抖音达播'!N47+'快手'!N47</f>
      </c>
      <c r="O47" s="84">
        <f>SUM(C47:N47)</f>
      </c>
      <c r="P47" s="86">
        <f>O47/$O$16</f>
      </c>
      <c r="Q47" s="1"/>
    </row>
    <row r="48">
      <c r="A48" s="88"/>
      <c r="B48" s="90" t="str">
        <v>线下渠道展陈、促销费用</v>
      </c>
      <c r="C48" s="89">
        <f>+'抖音'!C48+'抖音达播'!C48+'快手'!C48</f>
      </c>
      <c r="D48" s="89">
        <f>+'抖音'!D48+'抖音达播'!D48+'快手'!D48</f>
      </c>
      <c r="E48" s="89">
        <f>+'抖音'!E48+'抖音达播'!E48+'快手'!E48</f>
      </c>
      <c r="F48" s="89">
        <f>+'抖音'!F48+'抖音达播'!F48+'快手'!F48</f>
      </c>
      <c r="G48" s="89">
        <f>+'抖音'!G48+'抖音达播'!G48+'快手'!G48</f>
      </c>
      <c r="H48" s="89">
        <f>+'抖音'!H48+'抖音达播'!H48+'快手'!H48</f>
      </c>
      <c r="I48" s="89">
        <f>+'抖音'!I48+'抖音达播'!I48+'快手'!I48</f>
      </c>
      <c r="J48" s="89">
        <f>+'抖音'!J48+'抖音达播'!J48+'快手'!J48</f>
      </c>
      <c r="K48" s="89">
        <f>+'抖音'!K48+'抖音达播'!K48+'快手'!K48</f>
      </c>
      <c r="L48" s="89">
        <f>+'抖音'!L48+'抖音达播'!L48+'快手'!L48</f>
      </c>
      <c r="M48" s="89">
        <f>+'抖音'!M48+'抖音达播'!M48+'快手'!M48</f>
      </c>
      <c r="N48" s="89">
        <f>+'抖音'!N48+'抖音达播'!N48+'快手'!N48</f>
      </c>
      <c r="O48" s="88">
        <f>SUM(C48:N48)</f>
      </c>
      <c r="P48" s="91">
        <f>O48/$O$16</f>
      </c>
      <c r="Q48" s="90" t="str">
        <v>线下门店</v>
      </c>
    </row>
    <row r="49">
      <c r="A49" s="88"/>
      <c r="B49" s="90" t="str">
        <v>租金+物业+水电</v>
      </c>
      <c r="C49" s="89">
        <f>+'抖音'!C49+'抖音达播'!C49+'快手'!C49</f>
      </c>
      <c r="D49" s="89">
        <f>+'抖音'!D49+'抖音达播'!D49+'快手'!D49</f>
      </c>
      <c r="E49" s="89">
        <f>+'抖音'!E49+'抖音达播'!E49+'快手'!E49</f>
      </c>
      <c r="F49" s="89">
        <f>+'抖音'!F49+'抖音达播'!F49+'快手'!F49</f>
      </c>
      <c r="G49" s="89">
        <f>+'抖音'!G49+'抖音达播'!G49+'快手'!G49</f>
      </c>
      <c r="H49" s="89">
        <f>+'抖音'!H49+'抖音达播'!H49+'快手'!H49</f>
      </c>
      <c r="I49" s="89">
        <f>+'抖音'!I49+'抖音达播'!I49+'快手'!I49</f>
      </c>
      <c r="J49" s="89">
        <f>+'抖音'!J49+'抖音达播'!J49+'快手'!J49</f>
      </c>
      <c r="K49" s="89">
        <f>+'抖音'!K49+'抖音达播'!K49+'快手'!K49</f>
      </c>
      <c r="L49" s="89">
        <f>+'抖音'!L49+'抖音达播'!L49+'快手'!L49</f>
      </c>
      <c r="M49" s="89">
        <f>+'抖音'!M49+'抖音达播'!M49+'快手'!M49</f>
      </c>
      <c r="N49" s="89">
        <f>+'抖音'!N49+'抖音达播'!N49+'快手'!N49</f>
      </c>
      <c r="O49" s="88">
        <f>SUM(C49:N49)</f>
      </c>
      <c r="P49" s="91">
        <f>O49/$O$16</f>
      </c>
      <c r="Q49" s="90" t="str">
        <v>线下门店</v>
      </c>
    </row>
    <row r="50">
      <c r="A50" s="88"/>
      <c r="B50" s="90" t="str">
        <v>门店人工</v>
      </c>
      <c r="C50" s="89">
        <f>+'抖音'!C50+'抖音达播'!C50+'快手'!C50</f>
      </c>
      <c r="D50" s="89">
        <f>+'抖音'!D50+'抖音达播'!D50+'快手'!D50</f>
      </c>
      <c r="E50" s="89">
        <f>+'抖音'!E50+'抖音达播'!E50+'快手'!E50</f>
      </c>
      <c r="F50" s="89">
        <f>+'抖音'!F50+'抖音达播'!F50+'快手'!F50</f>
      </c>
      <c r="G50" s="89">
        <f>+'抖音'!G50+'抖音达播'!G50+'快手'!G50</f>
      </c>
      <c r="H50" s="89">
        <f>+'抖音'!H50+'抖音达播'!H50+'快手'!H50</f>
      </c>
      <c r="I50" s="89">
        <f>+'抖音'!I50+'抖音达播'!I50+'快手'!I50</f>
      </c>
      <c r="J50" s="89">
        <f>+'抖音'!J50+'抖音达播'!J50+'快手'!J50</f>
      </c>
      <c r="K50" s="89">
        <f>+'抖音'!K50+'抖音达播'!K50+'快手'!K50</f>
      </c>
      <c r="L50" s="89">
        <f>+'抖音'!L50+'抖音达播'!L50+'快手'!L50</f>
      </c>
      <c r="M50" s="89">
        <f>+'抖音'!M50+'抖音达播'!M50+'快手'!M50</f>
      </c>
      <c r="N50" s="89">
        <f>+'抖音'!N50+'抖音达播'!N50+'快手'!N50</f>
      </c>
      <c r="O50" s="88">
        <f>SUM(C50:N50)</f>
      </c>
      <c r="P50" s="91">
        <f>O50/$O$16</f>
      </c>
      <c r="Q50" s="90" t="str">
        <v>线下门店</v>
      </c>
    </row>
    <row r="51">
      <c r="B51" s="90" t="str">
        <v>门店展陈装修等其他</v>
      </c>
      <c r="C51" s="89">
        <f>+'抖音'!C51+'抖音达播'!C51+'快手'!C51</f>
      </c>
      <c r="D51" s="89">
        <f>+'抖音'!D51+'抖音达播'!D51+'快手'!D51</f>
      </c>
      <c r="E51" s="89">
        <f>+'抖音'!E51+'抖音达播'!E51+'快手'!E51</f>
      </c>
      <c r="F51" s="89">
        <f>+'抖音'!F51+'抖音达播'!F51+'快手'!F51</f>
      </c>
      <c r="G51" s="89">
        <f>+'抖音'!G51+'抖音达播'!G51+'快手'!G51</f>
      </c>
      <c r="H51" s="89">
        <f>+'抖音'!H51+'抖音达播'!H51+'快手'!H51</f>
      </c>
      <c r="I51" s="89">
        <f>+'抖音'!I51+'抖音达播'!I51+'快手'!I51</f>
      </c>
      <c r="J51" s="89">
        <f>+'抖音'!J51+'抖音达播'!J51+'快手'!J51</f>
      </c>
      <c r="K51" s="89">
        <f>+'抖音'!K51+'抖音达播'!K51+'快手'!K51</f>
      </c>
      <c r="L51" s="89">
        <f>+'抖音'!L51+'抖音达播'!L51+'快手'!L51</f>
      </c>
      <c r="M51" s="89">
        <f>+'抖音'!M51+'抖音达播'!M51+'快手'!M51</f>
      </c>
      <c r="N51" s="89">
        <f>+'抖音'!N51+'抖音达播'!N51+'快手'!N51</f>
      </c>
      <c r="O51" s="88">
        <f>SUM(C51:N51)</f>
      </c>
      <c r="P51" s="91">
        <f>O51/$O$16</f>
      </c>
      <c r="Q51" s="90" t="str">
        <v>线下门店</v>
      </c>
    </row>
    <row r="52">
      <c r="B52" s="83" t="str">
        <v>市场投入费用</v>
      </c>
      <c r="C52" s="81">
        <f>+'抖音'!C52+'抖音达播'!C52+'快手'!C52</f>
      </c>
      <c r="D52" s="81">
        <f>+'抖音'!D52+'抖音达播'!D52+'快手'!D52</f>
      </c>
      <c r="E52" s="81">
        <f>+'抖音'!E52+'抖音达播'!E52+'快手'!E52</f>
      </c>
      <c r="F52" s="81">
        <f>+'抖音'!F52+'抖音达播'!F52+'快手'!F52</f>
      </c>
      <c r="G52" s="81">
        <f>+'抖音'!G52+'抖音达播'!G52+'快手'!G52</f>
      </c>
      <c r="H52" s="81">
        <f>+'抖音'!H52+'抖音达播'!H52+'快手'!H52</f>
      </c>
      <c r="I52" s="81">
        <f>+'抖音'!I52+'抖音达播'!I52+'快手'!I52</f>
      </c>
      <c r="J52" s="81">
        <f>+'抖音'!J52+'抖音达播'!J52+'快手'!J52</f>
      </c>
      <c r="K52" s="81">
        <f>+'抖音'!K52+'抖音达播'!K52+'快手'!K52</f>
      </c>
      <c r="L52" s="81">
        <f>+'抖音'!L52+'抖音达播'!L52+'快手'!L52</f>
      </c>
      <c r="M52" s="81">
        <f>+'抖音'!M52+'抖音达播'!M52+'快手'!M52</f>
      </c>
      <c r="N52" s="81">
        <f>+'抖音'!N52+'抖音达播'!N52+'快手'!N52</f>
      </c>
      <c r="O52" s="81">
        <f>SUM(C52:N52)</f>
      </c>
      <c r="P52" s="82">
        <f>O52/$O$16</f>
      </c>
      <c r="Q52" s="1"/>
    </row>
    <row r="53">
      <c r="A53" s="88"/>
      <c r="B53" s="90" t="str">
        <v>平台佣金</v>
      </c>
      <c r="C53" s="89">
        <f>+'抖音'!C53+'抖音达播'!C53+'快手'!C53</f>
      </c>
      <c r="D53" s="89">
        <f>+'抖音'!D53+'抖音达播'!D53+'快手'!D53</f>
      </c>
      <c r="E53" s="89">
        <f>+'抖音'!E53+'抖音达播'!E53+'快手'!E53</f>
      </c>
      <c r="F53" s="89">
        <f>+'抖音'!F53+'抖音达播'!F53+'快手'!F53</f>
      </c>
      <c r="G53" s="89">
        <f>+'抖音'!G53+'抖音达播'!G53+'快手'!G53</f>
      </c>
      <c r="H53" s="89">
        <f>+'抖音'!H53+'抖音达播'!H53+'快手'!H53</f>
      </c>
      <c r="I53" s="89">
        <f>+'抖音'!I53+'抖音达播'!I53+'快手'!I53</f>
      </c>
      <c r="J53" s="89">
        <f>+'抖音'!J53+'抖音达播'!J53+'快手'!J53</f>
      </c>
      <c r="K53" s="89">
        <f>+'抖音'!K53+'抖音达播'!K53+'快手'!K53</f>
      </c>
      <c r="L53" s="89">
        <f>+'抖音'!L53+'抖音达播'!L53+'快手'!L53</f>
      </c>
      <c r="M53" s="89">
        <f>+'抖音'!M53+'抖音达播'!M53+'快手'!M53</f>
      </c>
      <c r="N53" s="89">
        <f>+'抖音'!N53+'抖音达播'!N53+'快手'!N53</f>
      </c>
      <c r="O53" s="88">
        <f>SUM(C53:N53)</f>
      </c>
      <c r="P53" s="91">
        <f>O53/$O$16</f>
      </c>
      <c r="Q53" s="44">
        <v>0.03</v>
      </c>
    </row>
    <row r="54">
      <c r="A54" s="88"/>
      <c r="B54" s="90" t="str">
        <v>平台其他费用</v>
      </c>
      <c r="C54" s="89">
        <f>+'抖音'!C54+'抖音达播'!C54+'快手'!C54</f>
      </c>
      <c r="D54" s="89">
        <f>+'抖音'!D54+'抖音达播'!D54+'快手'!D54</f>
      </c>
      <c r="E54" s="89">
        <f>+'抖音'!E54+'抖音达播'!E54+'快手'!E54</f>
      </c>
      <c r="F54" s="89">
        <f>+'抖音'!F54+'抖音达播'!F54+'快手'!F54</f>
      </c>
      <c r="G54" s="89">
        <f>+'抖音'!G54+'抖音达播'!G54+'快手'!G54</f>
      </c>
      <c r="H54" s="89">
        <f>+'抖音'!H54+'抖音达播'!H54+'快手'!H54</f>
      </c>
      <c r="I54" s="89">
        <f>+'抖音'!I54+'抖音达播'!I54+'快手'!I54</f>
      </c>
      <c r="J54" s="89">
        <f>+'抖音'!J54+'抖音达播'!J54+'快手'!J54</f>
      </c>
      <c r="K54" s="89">
        <f>+'抖音'!K54+'抖音达播'!K54+'快手'!K54</f>
      </c>
      <c r="L54" s="89">
        <f>+'抖音'!L54+'抖音达播'!L54+'快手'!L54</f>
      </c>
      <c r="M54" s="89">
        <f>+'抖音'!M54+'抖音达播'!M54+'快手'!M54</f>
      </c>
      <c r="N54" s="89">
        <f>+'抖音'!N54+'抖音达播'!N54+'快手'!N54</f>
      </c>
      <c r="O54" s="88">
        <f>SUM(C54:N54)</f>
      </c>
      <c r="P54" s="91">
        <f>O54/O16</f>
      </c>
      <c r="Q54" s="184" t="str">
        <v>国补借壳佣金2%，大促0.75%</v>
      </c>
    </row>
    <row r="55">
      <c r="A55" s="88"/>
      <c r="B55" s="90" t="str">
        <v>售后费用</v>
      </c>
      <c r="C55" s="89">
        <f>+'抖音'!C55+'抖音达播'!C55+'快手'!C55</f>
      </c>
      <c r="D55" s="89">
        <f>+'抖音'!D55+'抖音达播'!D55+'快手'!D55</f>
      </c>
      <c r="E55" s="89">
        <f>+'抖音'!E55+'抖音达播'!E55+'快手'!E55</f>
      </c>
      <c r="F55" s="89">
        <f>+'抖音'!F55+'抖音达播'!F55+'快手'!F55</f>
      </c>
      <c r="G55" s="89">
        <f>+'抖音'!G55+'抖音达播'!G55+'快手'!G55</f>
      </c>
      <c r="H55" s="89">
        <f>+'抖音'!H55+'抖音达播'!H55+'快手'!H55</f>
      </c>
      <c r="I55" s="89">
        <f>+'抖音'!I55+'抖音达播'!I55+'快手'!I55</f>
      </c>
      <c r="J55" s="89">
        <f>+'抖音'!J55+'抖音达播'!J55+'快手'!J55</f>
      </c>
      <c r="K55" s="89">
        <f>+'抖音'!K55+'抖音达播'!K55+'快手'!K55</f>
      </c>
      <c r="L55" s="89">
        <f>+'抖音'!L55+'抖音达播'!L55+'快手'!L55</f>
      </c>
      <c r="M55" s="89">
        <f>+'抖音'!M55+'抖音达播'!M55+'快手'!M55</f>
      </c>
      <c r="N55" s="89">
        <f>+'抖音'!N55+'抖音达播'!N55+'快手'!N55</f>
      </c>
      <c r="O55" s="88">
        <f>SUM(C55:N55)</f>
      </c>
      <c r="P55" s="91">
        <v>0.02</v>
      </c>
      <c r="Q55" s="1" t="str">
        <v>售后按照2%</v>
      </c>
    </row>
    <row r="56">
      <c r="A56" s="88"/>
      <c r="B56" s="90" t="str">
        <v>短信及店铺软件</v>
      </c>
      <c r="C56" s="89">
        <f>+'抖音'!C56+'抖音达播'!C56+'快手'!C56</f>
      </c>
      <c r="D56" s="89">
        <f>+'抖音'!D56+'抖音达播'!D56+'快手'!D56</f>
      </c>
      <c r="E56" s="89">
        <f>+'抖音'!E56+'抖音达播'!E56+'快手'!E56</f>
      </c>
      <c r="F56" s="89">
        <f>+'抖音'!F56+'抖音达播'!F56+'快手'!F56</f>
      </c>
      <c r="G56" s="89">
        <f>+'抖音'!G56+'抖音达播'!G56+'快手'!G56</f>
      </c>
      <c r="H56" s="89">
        <f>+'抖音'!H56+'抖音达播'!H56+'快手'!H56</f>
      </c>
      <c r="I56" s="89">
        <f>+'抖音'!I56+'抖音达播'!I56+'快手'!I56</f>
      </c>
      <c r="J56" s="89">
        <f>+'抖音'!J56+'抖音达播'!J56+'快手'!J56</f>
      </c>
      <c r="K56" s="89">
        <f>+'抖音'!K56+'抖音达播'!K56+'快手'!K56</f>
      </c>
      <c r="L56" s="89">
        <f>+'抖音'!L56+'抖音达播'!L56+'快手'!L56</f>
      </c>
      <c r="M56" s="89">
        <f>+'抖音'!M56+'抖音达播'!M56+'快手'!M56</f>
      </c>
      <c r="N56" s="89">
        <f>+'抖音'!N56+'抖音达播'!N56+'快手'!N56</f>
      </c>
      <c r="O56" s="88">
        <f>SUM(C56:N56)</f>
      </c>
      <c r="P56" s="91">
        <v>0.005</v>
      </c>
      <c r="Q56" s="185">
        <f>O56/0.03</f>
      </c>
      <c r="R56">
        <f>9*100+300</f>
      </c>
      <c r="S56" s="15" t="str">
        <v>条</v>
      </c>
    </row>
    <row r="57">
      <c r="A57" s="88"/>
      <c r="B57" s="90" t="str">
        <v>其他运营费用（咨询调研等）</v>
      </c>
      <c r="C57" s="89">
        <f>+'抖音'!C57+'抖音达播'!C57+'快手'!C57</f>
      </c>
      <c r="D57" s="89">
        <f>+'抖音'!D57+'抖音达播'!D57+'快手'!D57</f>
      </c>
      <c r="E57" s="89">
        <f>+'抖音'!E57+'抖音达播'!E57+'快手'!E57</f>
      </c>
      <c r="F57" s="89">
        <f>+'抖音'!F57+'抖音达播'!F57+'快手'!F57</f>
      </c>
      <c r="G57" s="89">
        <f>+'抖音'!G57+'抖音达播'!G57+'快手'!G57</f>
      </c>
      <c r="H57" s="89">
        <f>+'抖音'!H57+'抖音达播'!H57+'快手'!H57</f>
      </c>
      <c r="I57" s="89">
        <f>+'抖音'!I57+'抖音达播'!I57+'快手'!I57</f>
      </c>
      <c r="J57" s="89">
        <f>+'抖音'!J57+'抖音达播'!J57+'快手'!J57</f>
      </c>
      <c r="K57" s="89">
        <f>+'抖音'!K57+'抖音达播'!K57+'快手'!K57</f>
      </c>
      <c r="L57" s="89">
        <f>+'抖音'!L57+'抖音达播'!L57+'快手'!L57</f>
      </c>
      <c r="M57" s="89">
        <f>+'抖音'!M57+'抖音达播'!M57+'快手'!M57</f>
      </c>
      <c r="N57" s="89">
        <f>+'抖音'!N57+'抖音达播'!N57+'快手'!N57</f>
      </c>
      <c r="O57" s="88"/>
      <c r="P57" s="91"/>
      <c r="Q57" s="90"/>
    </row>
    <row r="58">
      <c r="B58" s="83" t="str">
        <v>店铺运营费用</v>
      </c>
      <c r="C58" s="81">
        <f>+'抖音'!C58+'抖音达播'!C58+'快手'!C58</f>
      </c>
      <c r="D58" s="81">
        <f>+'抖音'!D58+'抖音达播'!D58+'快手'!D58</f>
      </c>
      <c r="E58" s="81">
        <f>+'抖音'!E58+'抖音达播'!E58+'快手'!E58</f>
      </c>
      <c r="F58" s="81">
        <f>+'抖音'!F58+'抖音达播'!F58+'快手'!F58</f>
      </c>
      <c r="G58" s="81">
        <f>+'抖音'!G58+'抖音达播'!G58+'快手'!G58</f>
      </c>
      <c r="H58" s="81">
        <f>+'抖音'!H58+'抖音达播'!H58+'快手'!H58</f>
      </c>
      <c r="I58" s="81">
        <f>+'抖音'!I58+'抖音达播'!I58+'快手'!I58</f>
      </c>
      <c r="J58" s="81">
        <f>+'抖音'!J58+'抖音达播'!J58+'快手'!J58</f>
      </c>
      <c r="K58" s="81">
        <f>+'抖音'!K58+'抖音达播'!K58+'快手'!K58</f>
      </c>
      <c r="L58" s="81">
        <f>+'抖音'!L58+'抖音达播'!L58+'快手'!L58</f>
      </c>
      <c r="M58" s="81">
        <f>+'抖音'!M58+'抖音达播'!M58+'快手'!M58</f>
      </c>
      <c r="N58" s="81">
        <f>+'抖音'!N58+'抖音达播'!N58+'快手'!N58</f>
      </c>
      <c r="O58" s="81">
        <f>SUM(C58:N58)</f>
      </c>
      <c r="P58" s="82">
        <f>O58/$O$16</f>
      </c>
      <c r="Q58" s="1"/>
    </row>
    <row r="59">
      <c r="A59" s="97"/>
      <c r="B59" s="98" t="str">
        <v>A&amp;P 合计数</v>
      </c>
      <c r="C59" s="95">
        <f>+'抖音'!C59+'抖音达播'!C59+'快手'!C59</f>
      </c>
      <c r="D59" s="95">
        <f>+'抖音'!D59+'抖音达播'!D59+'快手'!D59</f>
      </c>
      <c r="E59" s="95">
        <f>+'抖音'!E59+'抖音达播'!E59+'快手'!E59</f>
      </c>
      <c r="F59" s="95">
        <f>+'抖音'!F59+'抖音达播'!F59+'快手'!F59</f>
      </c>
      <c r="G59" s="95">
        <f>+'抖音'!G59+'抖音达播'!G59+'快手'!G59</f>
      </c>
      <c r="H59" s="95">
        <f>+'抖音'!H59+'抖音达播'!H59+'快手'!H59</f>
      </c>
      <c r="I59" s="95">
        <f>+'抖音'!I59+'抖音达播'!I59+'快手'!I59</f>
      </c>
      <c r="J59" s="95">
        <f>+'抖音'!J59+'抖音达播'!J59+'快手'!J59</f>
      </c>
      <c r="K59" s="95">
        <f>+'抖音'!K59+'抖音达播'!K59+'快手'!K59</f>
      </c>
      <c r="L59" s="95">
        <f>+'抖音'!L59+'抖音达播'!L59+'快手'!L59</f>
      </c>
      <c r="M59" s="95">
        <f>+'抖音'!M59+'抖音达播'!M59+'快手'!M59</f>
      </c>
      <c r="N59" s="95">
        <f>+'抖音'!N59+'抖音达播'!N59+'快手'!N59</f>
      </c>
      <c r="O59" s="95">
        <f>SUM(C59:N59)</f>
      </c>
      <c r="P59" s="96">
        <f>O59/$O$16</f>
      </c>
      <c r="Q59" s="135"/>
      <c r="R59" s="106"/>
    </row>
    <row r="60">
      <c r="A60" s="97"/>
      <c r="B60" s="98" t="str">
        <v>店铺利润</v>
      </c>
      <c r="C60" s="95">
        <f>+'抖音'!C60+'抖音达播'!C60+'快手'!C60</f>
      </c>
      <c r="D60" s="95">
        <f>+'抖音'!D60+'抖音达播'!D60+'快手'!D60</f>
      </c>
      <c r="E60" s="95">
        <f>+'抖音'!E60+'抖音达播'!E60+'快手'!E60</f>
      </c>
      <c r="F60" s="95">
        <f>+'抖音'!F60+'抖音达播'!F60+'快手'!F60</f>
      </c>
      <c r="G60" s="95">
        <f>+'抖音'!G60+'抖音达播'!G60+'快手'!G60</f>
      </c>
      <c r="H60" s="95">
        <f>+'抖音'!H60+'抖音达播'!H60+'快手'!H60</f>
      </c>
      <c r="I60" s="95">
        <f>+'抖音'!I60+'抖音达播'!I60+'快手'!I60</f>
      </c>
      <c r="J60" s="95">
        <f>+'抖音'!J60+'抖音达播'!J60+'快手'!J60</f>
      </c>
      <c r="K60" s="95">
        <f>+'抖音'!K60+'抖音达播'!K60+'快手'!K60</f>
      </c>
      <c r="L60" s="95">
        <f>+'抖音'!L60+'抖音达播'!L60+'快手'!L60</f>
      </c>
      <c r="M60" s="95">
        <f>+'抖音'!M60+'抖音达播'!M60+'快手'!M60</f>
      </c>
      <c r="N60" s="95">
        <f>+'抖音'!N60+'抖音达播'!N60+'快手'!N60</f>
      </c>
      <c r="O60" s="95">
        <f>SUM(C60:N60)</f>
      </c>
      <c r="P60" s="96">
        <f>O60/$O$16</f>
      </c>
      <c r="Q60" s="135"/>
      <c r="R60" s="107"/>
    </row>
    <row r="61">
      <c r="O61" s="157">
        <f>O60-'抖音'!O60-'抖音达播'!O60-'快手'!O60</f>
      </c>
      <c r="Q61" s="1"/>
    </row>
    <row r="62"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Q62" s="1"/>
    </row>
    <row r="63">
      <c r="Q63" s="1"/>
    </row>
    <row r="64">
      <c r="Q64" s="1"/>
    </row>
    <row r="65">
      <c r="Q65" s="1"/>
    </row>
    <row r="66">
      <c r="Q66" s="1"/>
    </row>
    <row r="67">
      <c r="Q67" s="1"/>
    </row>
    <row r="68">
      <c r="Q68" s="1"/>
    </row>
    <row r="69">
      <c r="Q69" s="1"/>
    </row>
    <row r="70">
      <c r="Q70" s="1"/>
    </row>
    <row r="71">
      <c r="Q71" s="1"/>
    </row>
    <row r="72">
      <c r="Q72" s="1"/>
    </row>
    <row r="73">
      <c r="Q73" s="1"/>
    </row>
    <row r="74">
      <c r="Q74" s="1"/>
    </row>
    <row r="75">
      <c r="Q75" s="1"/>
    </row>
    <row r="76">
      <c r="Q76" s="1"/>
    </row>
    <row r="77">
      <c r="Q77" s="1"/>
    </row>
    <row r="78">
      <c r="Q78" s="1"/>
    </row>
    <row r="79">
      <c r="Q79" s="1"/>
    </row>
    <row r="80">
      <c r="Q80" s="1"/>
    </row>
    <row r="81">
      <c r="Q81" s="1"/>
    </row>
    <row r="82">
      <c r="C82" s="158">
        <f>C16-C18-C20-C26-C37-C44-C47-C58-C60</f>
      </c>
      <c r="D82" s="158">
        <f>D16-D18-D20-D26-D37-D44-D47-D58-D60</f>
      </c>
      <c r="E82" s="158">
        <f>E16-E18-E20-E26-E37-E44-E47-E58-E60</f>
      </c>
      <c r="F82" s="158">
        <f>F16-F18-F20-F26-F37-F44-F47-F58-F60</f>
      </c>
      <c r="G82" s="158">
        <f>G16-G18-G20-G26-G37-G44-G47-G58-G60</f>
      </c>
      <c r="H82" s="158">
        <f>H16-H18-H20-H26-H37-H44-H47-H58-H60</f>
      </c>
      <c r="I82" s="158">
        <f>I16-I18-I20-I26-I37-I44-I47-I58-I60</f>
      </c>
      <c r="J82" s="158">
        <f>J16-J18-J20-J26-J37-J44-J47-J58-J60</f>
      </c>
      <c r="K82" s="158">
        <f>K16-K18-K20-K26-K37-K44-K47-K58-K60</f>
      </c>
      <c r="L82" s="158">
        <f>L16-L18-L20-L26-L37-L44-L47-L58-L60</f>
      </c>
      <c r="M82" s="158">
        <f>M16-M18-M20-M26-M37-M44-M47-M58-M60</f>
      </c>
      <c r="N82" s="158">
        <f>N16-N18-N20-N26-N37-N44-N47-N58-N60</f>
      </c>
      <c r="O82" s="158">
        <f>O16-O18-O20-O26-O37-O44-O47-O58-O60</f>
      </c>
      <c r="Q82" s="1"/>
    </row>
    <row r="83">
      <c r="Q83" s="1"/>
    </row>
    <row r="84">
      <c r="Q84" s="1"/>
    </row>
    <row r="85">
      <c r="Q85" s="1"/>
    </row>
    <row r="86">
      <c r="Q86" s="1"/>
    </row>
    <row r="87">
      <c r="Q87" s="1"/>
    </row>
    <row r="88">
      <c r="Q88" s="1"/>
    </row>
    <row r="89">
      <c r="Q89" s="1"/>
    </row>
    <row r="90">
      <c r="Q90" s="1"/>
    </row>
    <row r="91">
      <c r="Q91" s="1"/>
    </row>
    <row r="92">
      <c r="Q92" s="1"/>
    </row>
    <row r="93">
      <c r="Q93" s="1"/>
    </row>
    <row r="94">
      <c r="Q94" s="1"/>
    </row>
    <row r="95">
      <c r="Q95" s="1"/>
    </row>
    <row r="96">
      <c r="Q96" s="1"/>
    </row>
    <row r="97">
      <c r="Q97" s="1"/>
    </row>
    <row r="98">
      <c r="Q98" s="1"/>
    </row>
    <row r="99">
      <c r="Q99" s="1"/>
    </row>
    <row r="100">
      <c r="Q100" s="1"/>
    </row>
    <row r="101">
      <c r="Q101" s="1"/>
    </row>
    <row r="102">
      <c r="Q102" s="1"/>
    </row>
    <row r="103">
      <c r="Q103" s="1"/>
    </row>
    <row r="104">
      <c r="Q104" s="1"/>
    </row>
    <row r="105">
      <c r="Q105" s="1"/>
    </row>
    <row r="106">
      <c r="Q106" s="1"/>
    </row>
    <row r="107">
      <c r="Q107" s="1"/>
    </row>
    <row r="108">
      <c r="Q108" s="1"/>
    </row>
    <row r="109">
      <c r="Q109" s="1"/>
    </row>
    <row r="110">
      <c r="Q110" s="1"/>
    </row>
    <row r="111">
      <c r="Q111" s="1"/>
    </row>
    <row r="112">
      <c r="Q112" s="1"/>
    </row>
    <row r="113">
      <c r="Q113" s="1"/>
    </row>
    <row r="114">
      <c r="Q114" s="1"/>
    </row>
    <row r="115">
      <c r="Q115" s="1"/>
    </row>
    <row r="116">
      <c r="Q116" s="1"/>
    </row>
    <row r="117">
      <c r="Q117" s="1"/>
    </row>
    <row r="118">
      <c r="Q118" s="1"/>
    </row>
    <row r="119">
      <c r="Q119" s="1"/>
    </row>
    <row r="120">
      <c r="Q120" s="1"/>
    </row>
    <row r="121">
      <c r="Q121" s="1"/>
    </row>
    <row r="122">
      <c r="Q122" s="1"/>
    </row>
    <row r="123">
      <c r="Q123" s="1"/>
    </row>
    <row r="124">
      <c r="Q124" s="1"/>
    </row>
    <row r="125">
      <c r="Q125" s="1"/>
    </row>
    <row r="126">
      <c r="Q126" s="1"/>
    </row>
    <row r="127">
      <c r="Q127" s="1"/>
    </row>
    <row r="128">
      <c r="Q128" s="1"/>
    </row>
    <row r="129">
      <c r="Q129" s="1"/>
    </row>
    <row r="130">
      <c r="Q130" s="1"/>
    </row>
    <row r="131">
      <c r="Q131" s="1"/>
    </row>
    <row r="132">
      <c r="Q132" s="1"/>
    </row>
    <row r="133">
      <c r="Q133" s="1"/>
    </row>
    <row r="134">
      <c r="Q134" s="1"/>
    </row>
    <row r="135">
      <c r="Q135" s="1"/>
    </row>
    <row r="136">
      <c r="Q136" s="1"/>
    </row>
    <row r="137">
      <c r="Q137" s="1"/>
    </row>
    <row r="138">
      <c r="Q138" s="1"/>
    </row>
    <row r="139">
      <c r="Q139" s="1"/>
    </row>
    <row r="140">
      <c r="Q140" s="1"/>
    </row>
    <row r="141">
      <c r="Q141" s="1"/>
    </row>
    <row r="142">
      <c r="Q142" s="1"/>
    </row>
    <row r="143">
      <c r="Q143" s="1"/>
    </row>
    <row r="144">
      <c r="Q144" s="1"/>
    </row>
    <row r="145">
      <c r="Q145" s="1"/>
    </row>
    <row r="146">
      <c r="Q146" s="1"/>
    </row>
    <row r="147">
      <c r="Q147" s="1"/>
    </row>
    <row r="148">
      <c r="Q148" s="1"/>
    </row>
    <row r="149">
      <c r="Q149" s="1"/>
    </row>
    <row r="150">
      <c r="Q150" s="1"/>
    </row>
    <row r="151">
      <c r="Q151" s="1"/>
    </row>
    <row r="152">
      <c r="Q152" s="1"/>
    </row>
    <row r="153">
      <c r="Q153" s="1"/>
    </row>
    <row r="154">
      <c r="Q154" s="1"/>
    </row>
    <row r="155">
      <c r="Q155" s="1"/>
    </row>
    <row r="156">
      <c r="Q156" s="1"/>
    </row>
    <row r="157">
      <c r="Q157" s="1"/>
    </row>
    <row r="158">
      <c r="Q158" s="1"/>
    </row>
    <row r="159">
      <c r="Q159" s="1"/>
    </row>
    <row r="160">
      <c r="Q160" s="1"/>
    </row>
    <row r="161">
      <c r="Q161" s="1"/>
    </row>
    <row r="162">
      <c r="Q162" s="1"/>
    </row>
    <row r="163">
      <c r="Q163" s="1"/>
    </row>
    <row r="164">
      <c r="Q164" s="1"/>
    </row>
    <row r="165">
      <c r="Q165" s="1"/>
    </row>
    <row r="166">
      <c r="Q166" s="1"/>
    </row>
    <row r="167">
      <c r="Q167" s="1"/>
    </row>
    <row r="168">
      <c r="Q168" s="1"/>
    </row>
    <row r="169">
      <c r="Q169" s="1"/>
    </row>
    <row r="170">
      <c r="Q170" s="1"/>
    </row>
    <row r="171">
      <c r="Q171" s="1"/>
    </row>
    <row r="172">
      <c r="Q172" s="1"/>
    </row>
    <row r="173">
      <c r="Q173" s="1"/>
    </row>
    <row r="174">
      <c r="Q174" s="1"/>
    </row>
    <row r="175">
      <c r="Q175" s="1"/>
    </row>
    <row r="176">
      <c r="Q176" s="1"/>
    </row>
    <row r="177">
      <c r="Q177" s="1"/>
    </row>
    <row r="178">
      <c r="Q178" s="1"/>
    </row>
    <row r="179">
      <c r="Q179" s="1"/>
    </row>
    <row r="180">
      <c r="Q180" s="1"/>
    </row>
    <row r="181">
      <c r="Q181" s="1"/>
    </row>
    <row r="182">
      <c r="Q182" s="1"/>
    </row>
    <row r="183">
      <c r="Q183" s="1"/>
    </row>
    <row r="184">
      <c r="Q184" s="1"/>
    </row>
    <row r="185">
      <c r="Q185" s="1"/>
    </row>
    <row r="186">
      <c r="Q186" s="1"/>
    </row>
    <row r="187">
      <c r="Q187" s="1"/>
    </row>
    <row r="188">
      <c r="Q188" s="1"/>
    </row>
    <row r="189">
      <c r="Q189" s="1"/>
    </row>
    <row r="190">
      <c r="Q190" s="1"/>
    </row>
    <row r="191">
      <c r="Q191" s="1"/>
    </row>
    <row r="192">
      <c r="Q192" s="1"/>
    </row>
    <row r="193">
      <c r="Q193" s="1"/>
    </row>
    <row r="194">
      <c r="Q194" s="1"/>
    </row>
    <row r="195">
      <c r="Q195" s="1"/>
    </row>
    <row r="196">
      <c r="Q196" s="1"/>
    </row>
    <row r="197">
      <c r="Q197" s="1"/>
    </row>
    <row r="198">
      <c r="Q198" s="1"/>
    </row>
    <row r="199">
      <c r="Q199" s="1"/>
    </row>
    <row r="200">
      <c r="Q200" s="1"/>
    </row>
    <row r="201">
      <c r="Q201" s="1"/>
    </row>
  </sheetData>
  <picture r:id="rId1"/>
</worksheet>
</file>

<file path=xl/worksheets/sheet14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</row>
    <row r="2">
      <c r="B2" s="90" t="str">
        <v>退后销量</v>
      </c>
      <c r="C2" s="88">
        <v>17366.40471012527</v>
      </c>
      <c r="D2" s="88">
        <v>15839.687812531838</v>
      </c>
      <c r="E2" s="88">
        <v>18511.44238332034</v>
      </c>
      <c r="F2" s="88">
        <v>15362.588782033892</v>
      </c>
      <c r="G2" s="88">
        <v>26812.965513984618</v>
      </c>
      <c r="H2" s="88">
        <v>23187.012882200223</v>
      </c>
      <c r="I2" s="88">
        <v>15076.329363735123</v>
      </c>
      <c r="J2" s="88">
        <v>18950.373491378454</v>
      </c>
      <c r="K2" s="88">
        <v>20896.937535810077</v>
      </c>
      <c r="L2" s="88">
        <v>27690.827730100842</v>
      </c>
      <c r="M2" s="88">
        <v>21526.708256067366</v>
      </c>
      <c r="N2" s="88">
        <v>19236.63290967722</v>
      </c>
      <c r="O2" s="88">
        <f>SUM(C2:N2)</f>
      </c>
      <c r="P2" s="88"/>
      <c r="Q2" s="1"/>
    </row>
    <row r="3">
      <c r="A3" s="97"/>
      <c r="B3" s="94" t="str">
        <v>自补前GMV</v>
      </c>
      <c r="C3" s="93">
        <v>11107394.972082447</v>
      </c>
      <c r="D3" s="93">
        <v>12495819.343592752</v>
      </c>
      <c r="E3" s="93">
        <v>8330546.229061835</v>
      </c>
      <c r="F3" s="93">
        <v>6942121.85755153</v>
      </c>
      <c r="G3" s="93">
        <v>15272668.086613365</v>
      </c>
      <c r="H3" s="93">
        <v>13884243.71510306</v>
      </c>
      <c r="I3" s="93">
        <v>8330546.229061835</v>
      </c>
      <c r="J3" s="93">
        <v>12495819.343592752</v>
      </c>
      <c r="K3" s="93">
        <v>8330546.229061835</v>
      </c>
      <c r="L3" s="93">
        <v>15272668.086613365</v>
      </c>
      <c r="M3" s="93">
        <v>13884243.71510306</v>
      </c>
      <c r="N3" s="93">
        <v>12495819.343592752</v>
      </c>
      <c r="O3" s="93">
        <f>SUM(C3:N3)</f>
      </c>
      <c r="P3" s="93"/>
      <c r="Q3" s="146" t="str">
        <v>渠道填写</v>
      </c>
    </row>
    <row r="4">
      <c r="A4" s="97"/>
      <c r="B4" s="94" t="str">
        <v>自补前GSV</v>
      </c>
      <c r="C4" s="93">
        <v>8116588.749288541</v>
      </c>
      <c r="D4" s="93">
        <v>8996989.927386781</v>
      </c>
      <c r="E4" s="93">
        <v>6164604.209505758</v>
      </c>
      <c r="F4" s="93">
        <v>5206591.3931636475</v>
      </c>
      <c r="G4" s="93">
        <v>10843594.341495488</v>
      </c>
      <c r="H4" s="93">
        <v>9857813.037723172</v>
      </c>
      <c r="I4" s="93">
        <v>6247909.671796377</v>
      </c>
      <c r="J4" s="93">
        <v>9121948.120822709</v>
      </c>
      <c r="K4" s="93">
        <v>6247909.671796377</v>
      </c>
      <c r="L4" s="93">
        <v>10843594.341495488</v>
      </c>
      <c r="M4" s="93">
        <v>10135497.912025234</v>
      </c>
      <c r="N4" s="93">
        <v>9371864.507694565</v>
      </c>
      <c r="O4" s="93">
        <f>SUM(C4:N4)</f>
      </c>
      <c r="P4" s="93"/>
      <c r="Q4" s="146" t="str">
        <v>渠道填写</v>
      </c>
    </row>
    <row r="5">
      <c r="A5" s="97"/>
      <c r="B5" s="94" t="str">
        <v>国补自补费用</v>
      </c>
      <c r="C5" s="93">
        <f>C12</f>
      </c>
      <c r="D5" s="93">
        <f>D12</f>
      </c>
      <c r="E5" s="93">
        <f>E12</f>
      </c>
      <c r="F5" s="93">
        <f>F12</f>
      </c>
      <c r="G5" s="93">
        <f>G12</f>
      </c>
      <c r="H5" s="93">
        <f>H12</f>
      </c>
      <c r="I5" s="93">
        <f>I12</f>
      </c>
      <c r="J5" s="93">
        <f>J12</f>
      </c>
      <c r="K5" s="93">
        <f>K12</f>
      </c>
      <c r="L5" s="93">
        <f>L12</f>
      </c>
      <c r="M5" s="93">
        <f>M12</f>
      </c>
      <c r="N5" s="93">
        <f>N12</f>
      </c>
      <c r="O5" s="93">
        <f>SUM(C5:N5)</f>
      </c>
      <c r="P5" s="93"/>
      <c r="Q5" s="126" t="str">
        <v>渠道填写</v>
      </c>
    </row>
    <row r="6">
      <c r="A6" s="97"/>
      <c r="B6" s="98" t="str">
        <v>GMV（国补后）</v>
      </c>
      <c r="C6" s="95">
        <f>C3*85%</f>
      </c>
      <c r="D6" s="95">
        <f>D3*85%</f>
      </c>
      <c r="E6" s="95">
        <f>E3*85%</f>
      </c>
      <c r="F6" s="95">
        <f>F3*85%</f>
      </c>
      <c r="G6" s="95">
        <f>G3*85%</f>
      </c>
      <c r="H6" s="95">
        <f>H3*85%</f>
      </c>
      <c r="I6" s="95">
        <f>I3*85%</f>
      </c>
      <c r="J6" s="95">
        <f>J3*85%</f>
      </c>
      <c r="K6" s="95">
        <f>K3*85%</f>
      </c>
      <c r="L6" s="95">
        <f>L3*85%</f>
      </c>
      <c r="M6" s="95">
        <f>M3*85%</f>
      </c>
      <c r="N6" s="95">
        <f>N3*85%</f>
      </c>
      <c r="O6" s="95">
        <f>SUM(C6:N6)</f>
      </c>
      <c r="P6" s="95"/>
      <c r="Q6" s="126" t="str">
        <v>渠道填写</v>
      </c>
    </row>
    <row r="7">
      <c r="A7" s="97"/>
      <c r="B7" s="102" t="str">
        <v>退货率（发货前+后）</v>
      </c>
      <c r="C7" s="103">
        <f>1-C8/C6</f>
      </c>
      <c r="D7" s="103">
        <f>1-D8/D6</f>
      </c>
      <c r="E7" s="103">
        <f>1-E8/E6</f>
      </c>
      <c r="F7" s="103">
        <f>1-F8/F6</f>
      </c>
      <c r="G7" s="103">
        <f>1-G8/G6</f>
      </c>
      <c r="H7" s="103">
        <f>1-H8/H6</f>
      </c>
      <c r="I7" s="103">
        <f>1-I8/I6</f>
      </c>
      <c r="J7" s="103">
        <f>1-J8/J6</f>
      </c>
      <c r="K7" s="103">
        <f>1-K8/K6</f>
      </c>
      <c r="L7" s="103">
        <f>1-L8/L6</f>
      </c>
      <c r="M7" s="103">
        <f>1-M8/M6</f>
      </c>
      <c r="N7" s="103">
        <f>1-N8/N6</f>
      </c>
      <c r="O7" s="103">
        <f>1-O8/O6</f>
      </c>
      <c r="P7" s="103"/>
      <c r="Q7" s="1" t="str">
        <v>渠道填写</v>
      </c>
    </row>
    <row r="8">
      <c r="A8" s="97"/>
      <c r="B8" s="98" t="str">
        <v>GSV（国补后）</v>
      </c>
      <c r="C8" s="95">
        <f>C4*85%</f>
      </c>
      <c r="D8" s="95">
        <f>D4*85%</f>
      </c>
      <c r="E8" s="95">
        <f>E4*85%</f>
      </c>
      <c r="F8" s="95">
        <f>F4*85%</f>
      </c>
      <c r="G8" s="95">
        <f>G4*85%</f>
      </c>
      <c r="H8" s="95">
        <f>H4*85%</f>
      </c>
      <c r="I8" s="95">
        <f>I4*85%</f>
      </c>
      <c r="J8" s="95">
        <f>J4*85%</f>
      </c>
      <c r="K8" s="95">
        <f>K4*85%</f>
      </c>
      <c r="L8" s="95">
        <f>L4*85%</f>
      </c>
      <c r="M8" s="95">
        <f>M4*85%</f>
      </c>
      <c r="N8" s="95">
        <f>N4*85%</f>
      </c>
      <c r="O8" s="95">
        <f>SUM(C8:N8)</f>
      </c>
      <c r="P8" s="95"/>
      <c r="Q8" s="1" t="str">
        <v>渠道填写</v>
      </c>
    </row>
    <row r="9">
      <c r="B9" s="90"/>
      <c r="C9" s="88">
        <f>C10-C14-C15</f>
      </c>
      <c r="D9" s="88">
        <f>D10-D14-D15</f>
      </c>
      <c r="E9" s="88">
        <f>E10-E14-E15</f>
      </c>
      <c r="F9" s="88">
        <f>F10-F14-F15</f>
      </c>
      <c r="G9" s="88">
        <f>G10-G14-G15</f>
      </c>
      <c r="H9" s="88">
        <f>H10-H14-H15</f>
      </c>
      <c r="I9" s="88">
        <f>I10-I14-I15</f>
      </c>
      <c r="J9" s="88">
        <f>J10-J14-J15</f>
      </c>
      <c r="K9" s="88">
        <f>K10-K14-K15</f>
      </c>
      <c r="L9" s="88">
        <f>L10-L14-L15</f>
      </c>
      <c r="M9" s="88">
        <f>M10-M14-M15</f>
      </c>
      <c r="N9" s="88">
        <f>N10-N14-N15</f>
      </c>
      <c r="O9" s="88">
        <f>O10-O14-O15</f>
      </c>
      <c r="P9" s="88"/>
      <c r="Q9" s="1"/>
    </row>
    <row r="10">
      <c r="A10" s="97"/>
      <c r="B10" s="98" t="str">
        <v>零售价（去除退货后的）</v>
      </c>
      <c r="C10" s="95">
        <v>10668387.937608141</v>
      </c>
      <c r="D10" s="95">
        <v>9726306.570940835</v>
      </c>
      <c r="E10" s="95">
        <v>6253527.28752739</v>
      </c>
      <c r="F10" s="95">
        <v>5268299.9610614125</v>
      </c>
      <c r="G10" s="95">
        <v>11045248.518573804</v>
      </c>
      <c r="H10" s="95">
        <v>10045232.344719391</v>
      </c>
      <c r="I10" s="95">
        <v>6339197.171151348</v>
      </c>
      <c r="J10" s="95">
        <v>9279476.362432789</v>
      </c>
      <c r="K10" s="95">
        <v>6339197.171151348</v>
      </c>
      <c r="L10" s="95">
        <v>11050336.663142245</v>
      </c>
      <c r="M10" s="95">
        <v>10312725.53143122</v>
      </c>
      <c r="N10" s="95">
        <v>9549798.905743308</v>
      </c>
      <c r="O10" s="95">
        <f>SUM(C10:N10)</f>
      </c>
      <c r="P10" s="95"/>
      <c r="Q10" s="1"/>
    </row>
    <row r="11">
      <c r="B11" s="85" t="str">
        <v>合同折扣及返利 (线下）</v>
      </c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>
        <f>SUM(C11:N11)</f>
      </c>
      <c r="P11" s="84"/>
      <c r="Q11" s="1" t="str">
        <v>线下渠道填写</v>
      </c>
    </row>
    <row r="12">
      <c r="B12" s="85" t="str">
        <v>国补自补 （线上）</v>
      </c>
      <c r="C12" s="84">
        <f>C4*$P$12</f>
      </c>
      <c r="D12" s="84">
        <f>D4*$P$12</f>
      </c>
      <c r="E12" s="84">
        <f>E4*$P$12</f>
      </c>
      <c r="F12" s="84">
        <f>F4*$P$12</f>
      </c>
      <c r="G12" s="84">
        <f>G4*$P$12</f>
      </c>
      <c r="H12" s="84">
        <f>H4*$P$12</f>
      </c>
      <c r="I12" s="84">
        <f>I4*$P$12</f>
      </c>
      <c r="J12" s="84">
        <f>J4*$P$12</f>
      </c>
      <c r="K12" s="84">
        <f>K4*$P$12</f>
      </c>
      <c r="L12" s="84">
        <f>L4*$P$12</f>
      </c>
      <c r="M12" s="84">
        <f>M4*$P$12</f>
      </c>
      <c r="N12" s="84">
        <f>N4*$P$12</f>
      </c>
      <c r="O12" s="84">
        <f>SUM(C12:N12)</f>
      </c>
      <c r="P12" s="183">
        <v>0.15</v>
      </c>
      <c r="Q12" s="1" t="str">
        <v>渠道填写</v>
      </c>
      <c r="R12" s="54">
        <f>O12/$O$10</f>
      </c>
    </row>
    <row customHeight="true" ht="24" r="13">
      <c r="B13" s="85" t="str">
        <v>红包消费券等促销折扣</v>
      </c>
      <c r="C13" s="84">
        <f>C10-C4</f>
      </c>
      <c r="D13" s="84">
        <f>D10-D4</f>
      </c>
      <c r="E13" s="84">
        <f>E10-E4</f>
      </c>
      <c r="F13" s="84">
        <f>F10-F4</f>
      </c>
      <c r="G13" s="84">
        <f>G10-G4</f>
      </c>
      <c r="H13" s="84">
        <f>H10-H4</f>
      </c>
      <c r="I13" s="84">
        <f>I10-I4</f>
      </c>
      <c r="J13" s="84">
        <f>J10-J4</f>
      </c>
      <c r="K13" s="84">
        <f>K10-K4</f>
      </c>
      <c r="L13" s="84">
        <f>L10-L4</f>
      </c>
      <c r="M13" s="84">
        <f>M10-M4</f>
      </c>
      <c r="N13" s="84">
        <f>N10-N4</f>
      </c>
      <c r="O13" s="84">
        <f>SUM(C13:N13)</f>
      </c>
      <c r="P13" s="183"/>
      <c r="Q13" s="1" t="str">
        <v>渠道填写</v>
      </c>
      <c r="R13" s="54">
        <f>O13/$O$10</f>
      </c>
    </row>
    <row r="14">
      <c r="B14" s="83" t="str">
        <v>TTL 折扣合计</v>
      </c>
      <c r="C14" s="81">
        <f>SUM(C11:C13)</f>
      </c>
      <c r="D14" s="81">
        <f>SUM(D11:D13)</f>
      </c>
      <c r="E14" s="81">
        <f>SUM(E11:E13)</f>
      </c>
      <c r="F14" s="81">
        <f>SUM(F11:F13)</f>
      </c>
      <c r="G14" s="81">
        <f>SUM(G11:G13)</f>
      </c>
      <c r="H14" s="81">
        <f>SUM(H11:H13)</f>
      </c>
      <c r="I14" s="81">
        <f>SUM(I11:I13)</f>
      </c>
      <c r="J14" s="81">
        <f>SUM(J11:J13)</f>
      </c>
      <c r="K14" s="81">
        <f>SUM(K11:K13)</f>
      </c>
      <c r="L14" s="81">
        <f>SUM(L11:L13)</f>
      </c>
      <c r="M14" s="81">
        <f>SUM(M11:M13)</f>
      </c>
      <c r="N14" s="81">
        <f>SUM(N11:N13)</f>
      </c>
      <c r="O14" s="81">
        <f>SUM(C14:N14)</f>
      </c>
      <c r="P14" s="81"/>
      <c r="Q14" s="1"/>
      <c r="R14" s="54">
        <f>O14/$O$10</f>
      </c>
    </row>
    <row r="15">
      <c r="A15" s="97"/>
      <c r="B15" s="98" t="str">
        <v>GSV</v>
      </c>
      <c r="C15" s="95">
        <f>C8</f>
      </c>
      <c r="D15" s="95">
        <f>D8</f>
      </c>
      <c r="E15" s="95">
        <f>E8</f>
      </c>
      <c r="F15" s="95">
        <f>F8</f>
      </c>
      <c r="G15" s="95">
        <f>G8</f>
      </c>
      <c r="H15" s="95">
        <f>H8</f>
      </c>
      <c r="I15" s="95">
        <f>I8</f>
      </c>
      <c r="J15" s="95">
        <f>J8</f>
      </c>
      <c r="K15" s="95">
        <f>K8</f>
      </c>
      <c r="L15" s="95">
        <f>L8</f>
      </c>
      <c r="M15" s="95">
        <f>M8</f>
      </c>
      <c r="N15" s="95">
        <f>N8</f>
      </c>
      <c r="O15" s="95">
        <f>SUM(C15:N15)</f>
      </c>
      <c r="P15" s="95"/>
      <c r="Q15" s="1"/>
    </row>
    <row r="16">
      <c r="A16" s="97"/>
      <c r="B16" s="98" t="str">
        <v>营业收入</v>
      </c>
      <c r="C16" s="95">
        <f>+C8/1.13</f>
      </c>
      <c r="D16" s="95">
        <f>+D8/1.13</f>
      </c>
      <c r="E16" s="95">
        <f>+E8/1.13</f>
      </c>
      <c r="F16" s="95">
        <f>+F8/1.13</f>
      </c>
      <c r="G16" s="95">
        <f>+G8/1.13</f>
      </c>
      <c r="H16" s="95">
        <f>+H8/1.13</f>
      </c>
      <c r="I16" s="95">
        <f>+I8/1.13</f>
      </c>
      <c r="J16" s="95">
        <f>+J8/1.13</f>
      </c>
      <c r="K16" s="95">
        <f>+K8/1.13</f>
      </c>
      <c r="L16" s="95">
        <f>+L8/1.13</f>
      </c>
      <c r="M16" s="95">
        <f>+M8/1.13</f>
      </c>
      <c r="N16" s="95">
        <f>+N8/1.13</f>
      </c>
      <c r="O16" s="95">
        <f>SUM(C16:N16)</f>
      </c>
      <c r="P16" s="95"/>
      <c r="Q16" s="1"/>
    </row>
    <row r="17">
      <c r="Q17" s="1"/>
    </row>
    <row r="18">
      <c r="B18" s="85" t="str">
        <v>标准主品配件成本</v>
      </c>
      <c r="C18" s="84">
        <f>C64*C65</f>
      </c>
      <c r="D18" s="84">
        <f>D64*D65</f>
      </c>
      <c r="E18" s="84">
        <f>E64*E65</f>
      </c>
      <c r="F18" s="84">
        <f>F64*F65</f>
      </c>
      <c r="G18" s="84">
        <f>G64*G65</f>
      </c>
      <c r="H18" s="84">
        <f>H64*H65</f>
      </c>
      <c r="I18" s="84">
        <f>I64*I65</f>
      </c>
      <c r="J18" s="84">
        <f>J64*J65</f>
      </c>
      <c r="K18" s="84">
        <f>K64*K65</f>
      </c>
      <c r="L18" s="84">
        <f>L64*L65</f>
      </c>
      <c r="M18" s="84">
        <f>M64*M65</f>
      </c>
      <c r="N18" s="84">
        <f>N64*N65</f>
      </c>
      <c r="O18" s="84">
        <f>SUM(C18:N18)</f>
      </c>
      <c r="P18" s="86">
        <f>O18/O16</f>
      </c>
      <c r="Q18" s="1"/>
    </row>
    <row r="19">
      <c r="B19" s="83" t="str">
        <v>产品毛利</v>
      </c>
      <c r="C19" s="81">
        <f>C16-C18</f>
      </c>
      <c r="D19" s="81">
        <f>D16-D18</f>
      </c>
      <c r="E19" s="81">
        <f>E16-E18</f>
      </c>
      <c r="F19" s="81">
        <f>F16-F18</f>
      </c>
      <c r="G19" s="81">
        <f>G16-G18</f>
      </c>
      <c r="H19" s="81">
        <f>H16-H18</f>
      </c>
      <c r="I19" s="81">
        <f>I16-I18</f>
      </c>
      <c r="J19" s="81">
        <f>J16-J18</f>
      </c>
      <c r="K19" s="81">
        <f>K16-K18</f>
      </c>
      <c r="L19" s="81">
        <f>L16-L18</f>
      </c>
      <c r="M19" s="81">
        <f>M16-M18</f>
      </c>
      <c r="N19" s="81">
        <f>N16-N18</f>
      </c>
      <c r="O19" s="81">
        <f>SUM(C19:N19)</f>
      </c>
      <c r="P19" s="82">
        <f>O19/$O$16</f>
      </c>
      <c r="Q19" s="1"/>
    </row>
    <row r="20">
      <c r="A20" s="88"/>
      <c r="B20" s="90" t="str">
        <v>头程/尾程物流/仓储费用</v>
      </c>
      <c r="C20" s="110">
        <f>C16*2.5%</f>
      </c>
      <c r="D20" s="110">
        <f>D16*2.5%</f>
      </c>
      <c r="E20" s="110">
        <f>E16*2.5%</f>
      </c>
      <c r="F20" s="110">
        <f>F16*2.5%</f>
      </c>
      <c r="G20" s="110">
        <f>G16*2.5%</f>
      </c>
      <c r="H20" s="110">
        <f>H16*2.5%</f>
      </c>
      <c r="I20" s="110">
        <f>I16*2.5%</f>
      </c>
      <c r="J20" s="110">
        <f>J16*2.5%</f>
      </c>
      <c r="K20" s="110">
        <f>K16*2.5%</f>
      </c>
      <c r="L20" s="110">
        <f>L16*2.5%</f>
      </c>
      <c r="M20" s="110">
        <f>M16*2.5%</f>
      </c>
      <c r="N20" s="110">
        <f>N16*2.5%</f>
      </c>
      <c r="O20" s="110">
        <f>SUM(C20:N20)</f>
      </c>
      <c r="P20" s="111">
        <v>0.025</v>
      </c>
      <c r="Q20" s="1"/>
    </row>
    <row r="21">
      <c r="B21" s="83" t="str">
        <v>成本合计（产品+物流）</v>
      </c>
      <c r="C21" s="81">
        <f>SUM(C18,C20)</f>
      </c>
      <c r="D21" s="81">
        <f>SUM(D18,D20)</f>
      </c>
      <c r="E21" s="81">
        <f>SUM(E18,E20)</f>
      </c>
      <c r="F21" s="81">
        <f>SUM(F18,F20)</f>
      </c>
      <c r="G21" s="81">
        <f>SUM(G18,G20)</f>
      </c>
      <c r="H21" s="81">
        <f>SUM(H18,H20)</f>
      </c>
      <c r="I21" s="81">
        <f>SUM(I18,I20)</f>
      </c>
      <c r="J21" s="81">
        <f>SUM(J18,J20)</f>
      </c>
      <c r="K21" s="81">
        <f>SUM(K18,K20)</f>
      </c>
      <c r="L21" s="81">
        <f>SUM(L18,L20)</f>
      </c>
      <c r="M21" s="81">
        <f>SUM(M18,M20)</f>
      </c>
      <c r="N21" s="81">
        <f>SUM(N18,N20)</f>
      </c>
      <c r="O21" s="81">
        <f>SUM(C21:N21)</f>
      </c>
      <c r="P21" s="82">
        <f>O21/$O$16</f>
      </c>
      <c r="Q21" s="1"/>
    </row>
    <row r="22">
      <c r="A22" s="97"/>
      <c r="B22" s="98" t="str">
        <v>净毛利</v>
      </c>
      <c r="C22" s="95">
        <f>C16-C21</f>
      </c>
      <c r="D22" s="95">
        <f>D16-D21</f>
      </c>
      <c r="E22" s="95">
        <f>E16-E21</f>
      </c>
      <c r="F22" s="95">
        <f>F16-F21</f>
      </c>
      <c r="G22" s="95">
        <f>G16-G21</f>
      </c>
      <c r="H22" s="95">
        <f>H16-H21</f>
      </c>
      <c r="I22" s="95">
        <f>I16-I21</f>
      </c>
      <c r="J22" s="95">
        <f>J16-J21</f>
      </c>
      <c r="K22" s="95">
        <f>K16-K21</f>
      </c>
      <c r="L22" s="95">
        <f>L16-L21</f>
      </c>
      <c r="M22" s="95">
        <f>M16-M21</f>
      </c>
      <c r="N22" s="95">
        <f>N16-N21</f>
      </c>
      <c r="O22" s="95">
        <f>SUM(C22:N22)</f>
      </c>
      <c r="P22" s="96">
        <f>O22/$O$16</f>
      </c>
      <c r="Q22" s="1"/>
    </row>
    <row r="23"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91"/>
      <c r="Q23" s="1"/>
    </row>
    <row r="24">
      <c r="B24" s="102" t="str">
        <v>合计毛利率</v>
      </c>
      <c r="C24" s="101">
        <f>IFERROR(1-C21/C16,0)</f>
      </c>
      <c r="D24" s="101">
        <f>IFERROR(1-D21/D16,0)</f>
      </c>
      <c r="E24" s="101">
        <f>IFERROR(1-E21/E16,0)</f>
      </c>
      <c r="F24" s="101">
        <f>IFERROR(1-F21/F16,0)</f>
      </c>
      <c r="G24" s="101">
        <f>IFERROR(1-G21/G16,0)</f>
      </c>
      <c r="H24" s="101">
        <f>IFERROR(1-H21/H16,0)</f>
      </c>
      <c r="I24" s="101">
        <f>IFERROR(1-I21/I16,0)</f>
      </c>
      <c r="J24" s="101">
        <f>IFERROR(1-J21/J16,0)</f>
      </c>
      <c r="K24" s="101">
        <f>IFERROR(1-K21/K16,0)</f>
      </c>
      <c r="L24" s="101">
        <f>IFERROR(1-L21/L16,0)</f>
      </c>
      <c r="M24" s="101">
        <f>IFERROR(1-M21/M16,0)</f>
      </c>
      <c r="N24" s="101">
        <f>IFERROR(1-N21/N16,0)</f>
      </c>
      <c r="O24" s="101">
        <f>IFERROR(1-O21/O16,0)</f>
      </c>
      <c r="P24" s="91"/>
      <c r="Q24" s="1"/>
    </row>
    <row r="25"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91"/>
      <c r="Q25" s="1"/>
    </row>
    <row r="26">
      <c r="B26" s="85" t="str">
        <v>品牌及内容费用</v>
      </c>
      <c r="C26" s="84">
        <f>SUM(C27:C31)</f>
      </c>
      <c r="D26" s="84">
        <f>SUM(D27:D31)</f>
      </c>
      <c r="E26" s="84">
        <f>SUM(E27:E31)</f>
      </c>
      <c r="F26" s="84">
        <f>SUM(F27:F31)</f>
      </c>
      <c r="G26" s="84">
        <f>SUM(G27:G31)</f>
      </c>
      <c r="H26" s="84">
        <f>SUM(H27:H31)</f>
      </c>
      <c r="I26" s="84">
        <f>SUM(I27:I31)</f>
      </c>
      <c r="J26" s="84">
        <f>SUM(J27:J31)</f>
      </c>
      <c r="K26" s="84">
        <f>SUM(K27:K31)</f>
      </c>
      <c r="L26" s="84">
        <f>SUM(L27:L31)</f>
      </c>
      <c r="M26" s="84">
        <f>SUM(M27:M31)</f>
      </c>
      <c r="N26" s="84">
        <f>SUM(N27:N31)</f>
      </c>
      <c r="O26" s="84">
        <f>SUM(C26:N26)</f>
      </c>
      <c r="P26" s="86">
        <f>O26/$O$16</f>
      </c>
      <c r="Q26" s="1"/>
    </row>
    <row r="27">
      <c r="A27" s="88"/>
      <c r="B27" s="90" t="str">
        <v>展会</v>
      </c>
      <c r="C27" s="89">
        <v>0</v>
      </c>
      <c r="D27" s="89">
        <v>0</v>
      </c>
      <c r="E27" s="89">
        <v>12760.023963953287</v>
      </c>
      <c r="F27" s="89">
        <v>10655.90464453269</v>
      </c>
      <c r="G27" s="89">
        <v>22721.319864608555</v>
      </c>
      <c r="H27" s="89">
        <v>20011.40827948796</v>
      </c>
      <c r="I27" s="89">
        <v>12866.055049570441</v>
      </c>
      <c r="J27" s="89">
        <v>17789.36888477871</v>
      </c>
      <c r="K27" s="89">
        <v>14135.052727899676</v>
      </c>
      <c r="L27" s="89">
        <v>23868.321250067296</v>
      </c>
      <c r="M27" s="89">
        <v>18066.222426646807</v>
      </c>
      <c r="N27" s="89">
        <v>0</v>
      </c>
      <c r="O27" s="88">
        <f>SUM(C27:N27)</f>
      </c>
      <c r="P27" s="91">
        <f>O27/$O$16</f>
      </c>
      <c r="Q27" s="90"/>
    </row>
    <row r="28">
      <c r="A28" s="88"/>
      <c r="B28" s="90" t="str">
        <v>品牌营销</v>
      </c>
      <c r="C28" s="89">
        <v>28164</v>
      </c>
      <c r="D28" s="89">
        <v>28164</v>
      </c>
      <c r="E28" s="89">
        <v>28164</v>
      </c>
      <c r="F28" s="89">
        <v>40951.08557343927</v>
      </c>
      <c r="G28" s="89">
        <v>164491.91918765137</v>
      </c>
      <c r="H28" s="89">
        <v>92200.50649436147</v>
      </c>
      <c r="I28" s="89">
        <v>28164</v>
      </c>
      <c r="J28" s="89">
        <v>49511.24266173444</v>
      </c>
      <c r="K28" s="89">
        <v>73396.16872927893</v>
      </c>
      <c r="L28" s="89">
        <v>56805.98550008079</v>
      </c>
      <c r="M28" s="89">
        <v>49843.46691197622</v>
      </c>
      <c r="N28" s="89">
        <v>28164</v>
      </c>
      <c r="O28" s="88">
        <f>SUM(C28:N28)</f>
      </c>
      <c r="P28" s="91">
        <f>O28/$O$16</f>
      </c>
      <c r="Q28" s="164" t="str">
        <v>注：每个月增加28164品专费用</v>
      </c>
    </row>
    <row r="29">
      <c r="A29" s="88"/>
      <c r="B29" s="90" t="str">
        <v>内容素材制作</v>
      </c>
      <c r="C29" s="89">
        <v>6276.513601686537</v>
      </c>
      <c r="D29" s="89">
        <v>5128.213207926684</v>
      </c>
      <c r="E29" s="89">
        <v>5104.009585581314</v>
      </c>
      <c r="F29" s="89">
        <v>21311.80928906538</v>
      </c>
      <c r="G29" s="89">
        <v>136327.9191876513</v>
      </c>
      <c r="H29" s="89">
        <v>88050.19642974704</v>
      </c>
      <c r="I29" s="89">
        <v>0</v>
      </c>
      <c r="J29" s="89">
        <v>21347.24266173445</v>
      </c>
      <c r="K29" s="89">
        <v>45232.168729278965</v>
      </c>
      <c r="L29" s="89">
        <v>47736.64250013459</v>
      </c>
      <c r="M29" s="89">
        <v>36132.444853293615</v>
      </c>
      <c r="N29" s="89">
        <v>6338.0402066296</v>
      </c>
      <c r="O29" s="88">
        <f>SUM(C29:N29)</f>
      </c>
      <c r="P29" s="91">
        <f>O29/$O$16</f>
      </c>
      <c r="Q29" s="1"/>
    </row>
    <row r="30">
      <c r="A30" s="88"/>
      <c r="B30" s="90" t="str">
        <v>公关费用</v>
      </c>
      <c r="C30" s="89">
        <v>6276.513601686537</v>
      </c>
      <c r="D30" s="89">
        <v>5128.213207926684</v>
      </c>
      <c r="E30" s="89">
        <v>40832.076684650514</v>
      </c>
      <c r="F30" s="89">
        <v>4262.361857813075</v>
      </c>
      <c r="G30" s="89">
        <v>27265.583837530266</v>
      </c>
      <c r="H30" s="89">
        <v>8004.563311795185</v>
      </c>
      <c r="I30" s="89">
        <v>5146.422019828176</v>
      </c>
      <c r="J30" s="89">
        <v>7115.747553911484</v>
      </c>
      <c r="K30" s="89">
        <v>5654.021091159871</v>
      </c>
      <c r="L30" s="89">
        <v>19094.657000053838</v>
      </c>
      <c r="M30" s="89">
        <v>14452.977941317447</v>
      </c>
      <c r="N30" s="89">
        <v>6338.0402066296</v>
      </c>
      <c r="O30" s="88">
        <f>SUM(C30:N30)</f>
      </c>
      <c r="P30" s="91">
        <f>O30/$O$16</f>
      </c>
      <c r="Q30" s="1"/>
    </row>
    <row r="31">
      <c r="A31" s="88"/>
      <c r="B31" s="90" t="str">
        <v>达人种草、样机及加热</v>
      </c>
      <c r="C31" s="89">
        <v>102051.8165054137</v>
      </c>
      <c r="D31" s="89">
        <v>416906.189094649</v>
      </c>
      <c r="E31" s="89">
        <v>663901.6278459493</v>
      </c>
      <c r="F31" s="89">
        <v>346515.43659232405</v>
      </c>
      <c r="G31" s="89">
        <v>1329959.2107724915</v>
      </c>
      <c r="H31" s="89">
        <v>780892.3343192831</v>
      </c>
      <c r="I31" s="89">
        <v>167354.6012824064</v>
      </c>
      <c r="J31" s="89">
        <v>231394.37265793333</v>
      </c>
      <c r="K31" s="89">
        <v>91930.5142201463</v>
      </c>
      <c r="L31" s="89">
        <v>776165.1436076288</v>
      </c>
      <c r="M31" s="89">
        <v>234995.53198256285</v>
      </c>
      <c r="N31" s="89">
        <v>206104.39400532705</v>
      </c>
      <c r="O31" s="88">
        <f>SUM(C31:N31)</f>
      </c>
      <c r="P31" s="91">
        <f>O31/$O$16</f>
      </c>
      <c r="Q31" s="1">
        <v>5348171.172886115</v>
      </c>
    </row>
    <row outlineLevel="1" r="32">
      <c r="A32" s="88"/>
      <c r="B32" s="90" t="str">
        <v>展会(费率)</v>
      </c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88"/>
      <c r="P32" s="91"/>
      <c r="Q32" s="1"/>
    </row>
    <row outlineLevel="1" r="33">
      <c r="A33" s="88"/>
      <c r="B33" s="90" t="str">
        <v>品牌营销（费率）</v>
      </c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91"/>
      <c r="Q33" s="1"/>
    </row>
    <row outlineLevel="1" r="34">
      <c r="A34" s="88"/>
      <c r="B34" s="90" t="str">
        <v>内容素材制作（费率）</v>
      </c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91"/>
      <c r="Q34" s="1"/>
    </row>
    <row outlineLevel="1" r="35">
      <c r="A35" s="88"/>
      <c r="B35" s="90" t="str">
        <v>公关费用（费率）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91"/>
      <c r="Q35" s="1"/>
    </row>
    <row outlineLevel="1" r="36">
      <c r="A36" s="88"/>
      <c r="B36" s="90" t="str">
        <v>达人种草、样机及加热（费率）</v>
      </c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88"/>
      <c r="P36" s="91"/>
      <c r="Q36" s="1"/>
    </row>
    <row r="37">
      <c r="B37" s="85" t="str">
        <v>效果广告</v>
      </c>
      <c r="C37" s="84">
        <f>SUM(C38:C40)</f>
      </c>
      <c r="D37" s="84">
        <f>SUM(D38:D40)</f>
      </c>
      <c r="E37" s="84">
        <f>SUM(E38:E40)</f>
      </c>
      <c r="F37" s="84">
        <f>SUM(F38:F40)</f>
      </c>
      <c r="G37" s="84">
        <f>SUM(G38:G40)</f>
      </c>
      <c r="H37" s="84">
        <f>SUM(H38:H40)</f>
      </c>
      <c r="I37" s="84">
        <f>SUM(I38:I40)</f>
      </c>
      <c r="J37" s="84">
        <f>SUM(J38:J40)</f>
      </c>
      <c r="K37" s="84">
        <f>SUM(K38:K40)</f>
      </c>
      <c r="L37" s="84">
        <f>SUM(L38:L40)</f>
      </c>
      <c r="M37" s="84">
        <f>SUM(M38:M40)</f>
      </c>
      <c r="N37" s="84">
        <f>SUM(N38:N40)</f>
      </c>
      <c r="O37" s="84">
        <f>SUM(C37:N37)</f>
      </c>
      <c r="P37" s="86">
        <f>O37/$O$16</f>
      </c>
      <c r="Q37" s="1"/>
    </row>
    <row r="38">
      <c r="A38" s="88"/>
      <c r="B38" s="90" t="str">
        <v>站内投放</v>
      </c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88"/>
      <c r="P38" s="91">
        <f>O38/$O$16</f>
      </c>
      <c r="Q38" s="1" t="str">
        <v>投放填写</v>
      </c>
    </row>
    <row r="39">
      <c r="A39" s="88"/>
      <c r="B39" s="90" t="str">
        <v>千川投放</v>
      </c>
      <c r="C39" s="99">
        <v>2298503.0086480826</v>
      </c>
      <c r="D39" s="99">
        <v>2468200.776539737</v>
      </c>
      <c r="E39" s="99">
        <v>1582066.567041301</v>
      </c>
      <c r="F39" s="99">
        <v>1336204.8708119097</v>
      </c>
      <c r="G39" s="99">
        <v>3070752.379892528</v>
      </c>
      <c r="H39" s="99">
        <v>2791593.072629571</v>
      </c>
      <c r="I39" s="99">
        <v>1603445.8449742913</v>
      </c>
      <c r="J39" s="99">
        <v>2583206.547489617</v>
      </c>
      <c r="K39" s="99">
        <v>1594158.1573787</v>
      </c>
      <c r="L39" s="99">
        <v>3070752.379892528</v>
      </c>
      <c r="M39" s="99">
        <v>2780534.8254228523</v>
      </c>
      <c r="N39" s="99">
        <v>2571042.475562226</v>
      </c>
      <c r="O39" s="88">
        <f>SUM(C39:N39)</f>
      </c>
      <c r="P39" s="91">
        <f>O39/$O$16</f>
      </c>
      <c r="Q39" s="1" t="str">
        <v>投放填写</v>
      </c>
      <c r="R39" s="71">
        <f>O39/O8</f>
      </c>
    </row>
    <row r="40">
      <c r="A40" s="88"/>
      <c r="B40" s="90" t="str">
        <v>站外投放</v>
      </c>
      <c r="C40" s="186"/>
      <c r="D40" s="186"/>
      <c r="E40" s="186"/>
      <c r="F40" s="186"/>
      <c r="G40" s="186"/>
      <c r="H40" s="186"/>
      <c r="I40" s="186"/>
      <c r="J40" s="186"/>
      <c r="K40" s="186"/>
      <c r="L40" s="186"/>
      <c r="M40" s="186"/>
      <c r="N40" s="186"/>
      <c r="O40" s="186"/>
      <c r="P40" s="91">
        <f>O40/$O$16</f>
      </c>
      <c r="Q40" s="1" t="str">
        <v>投放填写</v>
      </c>
    </row>
    <row outlineLevel="1" r="41">
      <c r="A41" s="88"/>
      <c r="B41" s="90" t="str">
        <v>站内投放（费率）</v>
      </c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91">
        <f>O38/$O$16</f>
      </c>
      <c r="Q41" s="1" t="str">
        <v>投放填写</v>
      </c>
    </row>
    <row outlineLevel="1" r="42">
      <c r="A42" s="88"/>
      <c r="B42" s="90" t="str">
        <v>千川投放（费率）</v>
      </c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91">
        <f>O39/$O$16</f>
      </c>
      <c r="Q42" s="1" t="str">
        <v>投放填写</v>
      </c>
    </row>
    <row outlineLevel="1" r="43">
      <c r="A43" s="88"/>
      <c r="B43" s="90" t="str">
        <v>站外投放（费率）</v>
      </c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91">
        <f>O40/$O$16</f>
      </c>
      <c r="Q43" s="1" t="str">
        <v>投放填写</v>
      </c>
    </row>
    <row r="44">
      <c r="B44" s="85" t="str">
        <v>线上营销费用</v>
      </c>
      <c r="C44" s="84">
        <f>SUM(C45:C46)</f>
      </c>
      <c r="D44" s="84">
        <f>SUM(D45:D46)</f>
      </c>
      <c r="E44" s="84">
        <f>SUM(E45:E46)</f>
      </c>
      <c r="F44" s="84">
        <f>SUM(F45:F46)</f>
      </c>
      <c r="G44" s="84">
        <f>SUM(G45:G46)</f>
      </c>
      <c r="H44" s="84">
        <f>SUM(H45:H46)</f>
      </c>
      <c r="I44" s="84">
        <f>SUM(I45:I46)</f>
      </c>
      <c r="J44" s="84">
        <f>SUM(J45:J46)</f>
      </c>
      <c r="K44" s="84">
        <f>SUM(K45:K46)</f>
      </c>
      <c r="L44" s="84">
        <f>SUM(L45:L46)</f>
      </c>
      <c r="M44" s="84">
        <f>SUM(M45:M46)</f>
      </c>
      <c r="N44" s="84">
        <f>SUM(N45:N46)</f>
      </c>
      <c r="O44" s="84">
        <f>SUM(C44:N44)</f>
      </c>
      <c r="P44" s="86">
        <f>O44/$O$16</f>
      </c>
      <c r="Q44" s="1"/>
    </row>
    <row r="45">
      <c r="A45" s="88"/>
      <c r="B45" s="90" t="str">
        <v>直播费用</v>
      </c>
      <c r="C45" s="89">
        <f>C16*$P$45</f>
      </c>
      <c r="D45" s="89">
        <f>D16*$P$45</f>
      </c>
      <c r="E45" s="89">
        <f>E16*$P$45</f>
      </c>
      <c r="F45" s="89">
        <f>F16*$P$45</f>
      </c>
      <c r="G45" s="89">
        <f>G16*$P$45</f>
      </c>
      <c r="H45" s="89">
        <f>H16*$P$45</f>
      </c>
      <c r="I45" s="89">
        <f>I16*$P$45</f>
      </c>
      <c r="J45" s="89">
        <f>J16*$P$45</f>
      </c>
      <c r="K45" s="89">
        <f>K16*$P$45</f>
      </c>
      <c r="L45" s="89">
        <f>L16*$P$45</f>
      </c>
      <c r="M45" s="89">
        <f>M16*$P$45</f>
      </c>
      <c r="N45" s="89">
        <f>N16*$P$45</f>
      </c>
      <c r="O45" s="88">
        <f>SUM(C45:N45)</f>
      </c>
      <c r="P45" s="91">
        <v>0.005</v>
      </c>
      <c r="Q45" s="1" t="str">
        <v>达人填写</v>
      </c>
      <c r="R45" s="15" t="str">
        <v>1%红包、0.5%赠品</v>
      </c>
    </row>
    <row r="46">
      <c r="A46" s="88"/>
      <c r="B46" s="90" t="str">
        <v>赠品费用</v>
      </c>
      <c r="C46" s="89">
        <f>C16*$P$46</f>
      </c>
      <c r="D46" s="89">
        <f>D16*$P$46</f>
      </c>
      <c r="E46" s="89">
        <f>E16*$P$46</f>
      </c>
      <c r="F46" s="89">
        <f>F16*$P$46</f>
      </c>
      <c r="G46" s="89">
        <f>G16*$P$46</f>
      </c>
      <c r="H46" s="89">
        <f>H16*$P$46</f>
      </c>
      <c r="I46" s="89">
        <f>I16*$P$46</f>
      </c>
      <c r="J46" s="89">
        <f>J16*$P$46</f>
      </c>
      <c r="K46" s="89">
        <f>K16*$P$46</f>
      </c>
      <c r="L46" s="89">
        <f>L16*$P$46</f>
      </c>
      <c r="M46" s="89">
        <f>M16*$P$46</f>
      </c>
      <c r="N46" s="89">
        <f>N16*$P$46</f>
      </c>
      <c r="O46" s="88">
        <f>SUM(C46:N46)</f>
      </c>
      <c r="P46" s="91">
        <v>0.05</v>
      </c>
      <c r="Q46" s="90" t="str">
        <v>渠道填写</v>
      </c>
      <c r="R46" s="187"/>
      <c r="S46" s="187"/>
      <c r="T46" s="187"/>
    </row>
    <row r="47">
      <c r="B47" s="85" t="str">
        <v>线下市场费用</v>
      </c>
      <c r="C47" s="84">
        <f>SUM(C48:C51)</f>
      </c>
      <c r="D47" s="84">
        <f>SUM(D48:D51)</f>
      </c>
      <c r="E47" s="84">
        <f>SUM(E48:E51)</f>
      </c>
      <c r="F47" s="84">
        <f>SUM(F48:F51)</f>
      </c>
      <c r="G47" s="84">
        <f>SUM(G48:G51)</f>
      </c>
      <c r="H47" s="84">
        <f>SUM(H48:H51)</f>
      </c>
      <c r="I47" s="84">
        <f>SUM(I48:I51)</f>
      </c>
      <c r="J47" s="84">
        <f>SUM(J48:J51)</f>
      </c>
      <c r="K47" s="84">
        <f>SUM(K48:K51)</f>
      </c>
      <c r="L47" s="84">
        <f>SUM(L48:L51)</f>
      </c>
      <c r="M47" s="84">
        <f>SUM(M48:M51)</f>
      </c>
      <c r="N47" s="84">
        <f>SUM(N48:N51)</f>
      </c>
      <c r="O47" s="84">
        <f>SUM(C47:N47)</f>
      </c>
      <c r="P47" s="86">
        <f>O47/$O$16</f>
      </c>
      <c r="Q47" s="1"/>
    </row>
    <row r="48">
      <c r="A48" s="88"/>
      <c r="B48" s="90" t="str">
        <v>线下渠道展陈、促销费用</v>
      </c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8">
        <f>SUM(C48:N48)</f>
      </c>
      <c r="P48" s="91">
        <f>O48/$O$16</f>
      </c>
      <c r="Q48" s="90" t="str">
        <v>线下门店</v>
      </c>
    </row>
    <row r="49">
      <c r="A49" s="88"/>
      <c r="B49" s="90" t="str">
        <v>租金+物业+水电</v>
      </c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8">
        <f>SUM(C49:N49)</f>
      </c>
      <c r="P49" s="91">
        <f>O49/$O$16</f>
      </c>
      <c r="Q49" s="90" t="str">
        <v>线下门店</v>
      </c>
    </row>
    <row r="50">
      <c r="A50" s="88"/>
      <c r="B50" s="90" t="str">
        <v>门店人工</v>
      </c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8">
        <f>SUM(C50:N50)</f>
      </c>
      <c r="P50" s="91">
        <f>O50/$O$16</f>
      </c>
      <c r="Q50" s="90" t="str">
        <v>线下门店</v>
      </c>
    </row>
    <row r="51">
      <c r="B51" s="90" t="str">
        <v>门店展陈装修等其他</v>
      </c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8">
        <f>SUM(C51:N51)</f>
      </c>
      <c r="P51" s="91">
        <f>O51/$O$16</f>
      </c>
      <c r="Q51" s="90" t="str">
        <v>线下门店</v>
      </c>
    </row>
    <row r="52">
      <c r="B52" s="83" t="str">
        <v>市场投入费用</v>
      </c>
      <c r="C52" s="81">
        <f>SUM(C26,C37,C44,C47)</f>
      </c>
      <c r="D52" s="81">
        <f>SUM(D26,D37,D44,D47)</f>
      </c>
      <c r="E52" s="81">
        <f>SUM(E26,E37,E44,E47)</f>
      </c>
      <c r="F52" s="81">
        <f>SUM(F26,F37,F44,F47)</f>
      </c>
      <c r="G52" s="81">
        <f>SUM(G26,G37,G44,G47)</f>
      </c>
      <c r="H52" s="81">
        <f>SUM(H26,H37,H44,H47)</f>
      </c>
      <c r="I52" s="81">
        <f>SUM(I26,I37,I44,I47)</f>
      </c>
      <c r="J52" s="81">
        <f>SUM(J26,J37,J44,J47)</f>
      </c>
      <c r="K52" s="81">
        <f>SUM(K26,K37,K44,K47)</f>
      </c>
      <c r="L52" s="81">
        <f>SUM(L26,L37,L44,L47)</f>
      </c>
      <c r="M52" s="81">
        <f>SUM(M26,M37,M44,M47)</f>
      </c>
      <c r="N52" s="81">
        <f>SUM(N26,N37,N44,N47)</f>
      </c>
      <c r="O52" s="81">
        <f>SUM(C52:N52)</f>
      </c>
      <c r="P52" s="82">
        <f>O52/$O$16</f>
      </c>
      <c r="Q52" s="1"/>
    </row>
    <row r="53">
      <c r="A53" s="88"/>
      <c r="B53" s="90" t="str">
        <v>平台佣金</v>
      </c>
      <c r="C53" s="89">
        <f>C16*$P$53</f>
      </c>
      <c r="D53" s="89">
        <f>D16*$P$53</f>
      </c>
      <c r="E53" s="89">
        <f>E16*$P$53</f>
      </c>
      <c r="F53" s="89">
        <f>F16*$P$53</f>
      </c>
      <c r="G53" s="89">
        <f>G16*$P$53</f>
      </c>
      <c r="H53" s="89">
        <f>H16*$P$53</f>
      </c>
      <c r="I53" s="89">
        <f>I16*$P$53</f>
      </c>
      <c r="J53" s="89">
        <f>J16*$P$53</f>
      </c>
      <c r="K53" s="89">
        <f>K16*$P$53</f>
      </c>
      <c r="L53" s="89">
        <f>L16*$P$53</f>
      </c>
      <c r="M53" s="89">
        <f>M16*$P$53</f>
      </c>
      <c r="N53" s="89">
        <f>N16*$P$53</f>
      </c>
      <c r="O53" s="88">
        <f>SUM(C53:N53)</f>
      </c>
      <c r="P53" s="91">
        <v>0.03</v>
      </c>
      <c r="Q53" s="44">
        <v>0.03</v>
      </c>
    </row>
    <row r="54">
      <c r="A54" s="88"/>
      <c r="B54" s="90" t="str">
        <v>平台其他费用</v>
      </c>
      <c r="C54" s="89">
        <f>C16*2%</f>
      </c>
      <c r="D54" s="89">
        <f>D16*2%</f>
      </c>
      <c r="E54" s="89">
        <f>E16*2%</f>
      </c>
      <c r="F54" s="89">
        <f>F16*2%</f>
      </c>
      <c r="G54" s="89">
        <f>G16*0.75%</f>
      </c>
      <c r="H54" s="89">
        <f>H16*0.75%</f>
      </c>
      <c r="I54" s="89">
        <f>I16*2%</f>
      </c>
      <c r="J54" s="89">
        <f>J16*2%</f>
      </c>
      <c r="K54" s="89">
        <f>K16*2%</f>
      </c>
      <c r="L54" s="89">
        <f>L16*0.75%</f>
      </c>
      <c r="M54" s="89">
        <f>M16*0.75%</f>
      </c>
      <c r="N54" s="89">
        <f>N16*2%</f>
      </c>
      <c r="O54" s="88">
        <f>SUM(C54:N54)</f>
      </c>
      <c r="P54" s="91">
        <f>O54/O16</f>
      </c>
      <c r="Q54" s="184" t="str">
        <v>国补借壳佣金2%，大促0.75%</v>
      </c>
    </row>
    <row r="55">
      <c r="A55" s="88"/>
      <c r="B55" s="90" t="str">
        <v>售后费用</v>
      </c>
      <c r="C55" s="89">
        <v>403227.8640979316</v>
      </c>
      <c r="D55" s="89">
        <v>263675.2489512296</v>
      </c>
      <c r="E55" s="89">
        <v>205664.6408712262</v>
      </c>
      <c r="F55" s="89">
        <v>316506.2089621411</v>
      </c>
      <c r="G55" s="89">
        <v>271814.6413946212</v>
      </c>
      <c r="H55" s="89">
        <v>190424.91517967585</v>
      </c>
      <c r="I55" s="89">
        <v>265314.65345926373</v>
      </c>
      <c r="J55" s="89">
        <v>205261.42102190995</v>
      </c>
      <c r="K55" s="89">
        <v>282837.2561301659</v>
      </c>
      <c r="L55" s="89">
        <v>223250.98013922805</v>
      </c>
      <c r="M55" s="89">
        <v>195541.78079234326</v>
      </c>
      <c r="N55" s="89">
        <v>190785.58035488066</v>
      </c>
      <c r="O55" s="88">
        <f>SUM(C55:N55)</f>
      </c>
      <c r="P55" s="91">
        <v>0.02</v>
      </c>
      <c r="Q55" s="1" t="str">
        <v>售后按照2%</v>
      </c>
    </row>
    <row r="56">
      <c r="A56" s="88"/>
      <c r="B56" s="90" t="str">
        <v>短信及店铺软件</v>
      </c>
      <c r="C56" s="89">
        <f>C16*$P$56</f>
      </c>
      <c r="D56" s="89">
        <f>D16*$P$56</f>
      </c>
      <c r="E56" s="89">
        <f>E16*$P$56</f>
      </c>
      <c r="F56" s="89">
        <f>F16*$P$56</f>
      </c>
      <c r="G56" s="89">
        <f>G16*$P$56</f>
      </c>
      <c r="H56" s="89">
        <f>H16*$P$56</f>
      </c>
      <c r="I56" s="89">
        <f>I16*$P$56</f>
      </c>
      <c r="J56" s="89">
        <f>J16*$P$56</f>
      </c>
      <c r="K56" s="89">
        <f>K16*$P$56</f>
      </c>
      <c r="L56" s="89">
        <f>L16*$P$56</f>
      </c>
      <c r="M56" s="89">
        <f>M16*$P$56</f>
      </c>
      <c r="N56" s="89">
        <f>N16*$P$56</f>
      </c>
      <c r="O56" s="88">
        <f>SUM(C56:N56)</f>
      </c>
      <c r="P56" s="91">
        <v>0.005</v>
      </c>
      <c r="Q56" s="185">
        <f>O56/0.03</f>
      </c>
      <c r="R56">
        <f>9*100+300</f>
      </c>
      <c r="S56" s="15" t="str">
        <v>条</v>
      </c>
    </row>
    <row r="57">
      <c r="A57" s="88"/>
      <c r="B57" s="90" t="str">
        <v>其他运营费用（咨询调研等）</v>
      </c>
      <c r="C57" s="89">
        <v>47709.903049794695</v>
      </c>
      <c r="D57" s="89"/>
      <c r="E57" s="89"/>
      <c r="F57" s="89"/>
      <c r="G57" s="89">
        <v>19083.961219917877</v>
      </c>
      <c r="H57" s="89"/>
      <c r="I57" s="89"/>
      <c r="J57" s="89"/>
      <c r="K57" s="89"/>
      <c r="L57" s="89">
        <v>19083.961219917877</v>
      </c>
      <c r="M57" s="89"/>
      <c r="N57" s="89">
        <v>57251.883659753636</v>
      </c>
      <c r="O57" s="88">
        <f>SUM(C57:N57)</f>
      </c>
      <c r="P57" s="91"/>
      <c r="Q57" s="90"/>
    </row>
    <row r="58">
      <c r="B58" s="83" t="str">
        <v>店铺运营费用</v>
      </c>
      <c r="C58" s="81">
        <f>SUM(C53:C57)</f>
      </c>
      <c r="D58" s="81">
        <f>SUM(D53:D57)</f>
      </c>
      <c r="E58" s="81">
        <f>SUM(E53:E57)</f>
      </c>
      <c r="F58" s="81">
        <f>SUM(F53:F57)</f>
      </c>
      <c r="G58" s="81">
        <f>SUM(G53:G57)</f>
      </c>
      <c r="H58" s="81">
        <f>SUM(H53:H57)</f>
      </c>
      <c r="I58" s="81">
        <f>SUM(I53:I57)</f>
      </c>
      <c r="J58" s="81">
        <f>SUM(J53:J57)</f>
      </c>
      <c r="K58" s="81">
        <f>SUM(K53:K57)</f>
      </c>
      <c r="L58" s="81">
        <f>SUM(L53:L57)</f>
      </c>
      <c r="M58" s="81">
        <f>SUM(M53:M57)</f>
      </c>
      <c r="N58" s="81">
        <f>SUM(N53:N57)</f>
      </c>
      <c r="O58" s="81">
        <f>SUM(C58:N58)</f>
      </c>
      <c r="P58" s="82">
        <f>O58/$O$16</f>
      </c>
      <c r="Q58" s="1"/>
    </row>
    <row r="59">
      <c r="A59" s="97"/>
      <c r="B59" s="98" t="str">
        <v>A&amp;P 合计数</v>
      </c>
      <c r="C59" s="95">
        <f>SUM(C52,C58)</f>
      </c>
      <c r="D59" s="95">
        <f>SUM(D52,D58)</f>
      </c>
      <c r="E59" s="95">
        <f>SUM(E52,E58)</f>
      </c>
      <c r="F59" s="95">
        <f>SUM(F52,F58)</f>
      </c>
      <c r="G59" s="95">
        <f>SUM(G52,G58)</f>
      </c>
      <c r="H59" s="95">
        <f>SUM(H52,H58)</f>
      </c>
      <c r="I59" s="95">
        <f>SUM(I52,I58)</f>
      </c>
      <c r="J59" s="95">
        <f>SUM(J52,J58)</f>
      </c>
      <c r="K59" s="95">
        <f>SUM(K52,K58)</f>
      </c>
      <c r="L59" s="95">
        <f>SUM(L52,L58)</f>
      </c>
      <c r="M59" s="95">
        <f>SUM(M52,M58)</f>
      </c>
      <c r="N59" s="95">
        <f>SUM(N52,N58)</f>
      </c>
      <c r="O59" s="95">
        <f>SUM(C59:N59)</f>
      </c>
      <c r="P59" s="96">
        <f>O59/$O$16</f>
      </c>
      <c r="Q59" s="135"/>
      <c r="R59" s="106"/>
    </row>
    <row r="60">
      <c r="A60" s="97"/>
      <c r="B60" s="98" t="str">
        <v>店铺利润</v>
      </c>
      <c r="C60" s="95">
        <f>C22-C59</f>
      </c>
      <c r="D60" s="95">
        <f>D22-D59</f>
      </c>
      <c r="E60" s="95">
        <f>E22-E59</f>
      </c>
      <c r="F60" s="95">
        <f>F22-F59</f>
      </c>
      <c r="G60" s="95">
        <f>G22-G59</f>
      </c>
      <c r="H60" s="95">
        <f>H22-H59</f>
      </c>
      <c r="I60" s="95">
        <f>I22-I59</f>
      </c>
      <c r="J60" s="95">
        <f>J22-J59</f>
      </c>
      <c r="K60" s="95">
        <f>K22-K59</f>
      </c>
      <c r="L60" s="95">
        <f>L22-L59</f>
      </c>
      <c r="M60" s="95">
        <f>M22-M59</f>
      </c>
      <c r="N60" s="95">
        <f>N22-N59</f>
      </c>
      <c r="O60" s="95">
        <f>SUM(C60:N60)</f>
      </c>
      <c r="P60" s="96">
        <f>O60/$O$16</f>
      </c>
      <c r="Q60" s="135"/>
      <c r="R60" s="107"/>
    </row>
    <row r="61">
      <c r="Q61" s="1"/>
    </row>
    <row r="62">
      <c r="B62" s="179" t="str">
        <v>辅助计算</v>
      </c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58"/>
      <c r="Q62" s="1"/>
    </row>
    <row r="63">
      <c r="B63" s="181" t="str">
        <v>国补后价格(销量加权)</v>
      </c>
      <c r="C63" s="181">
        <v>366.6</v>
      </c>
      <c r="D63" s="181">
        <v>362.6</v>
      </c>
      <c r="E63" s="181">
        <v>362.8</v>
      </c>
      <c r="F63" s="181">
        <v>357</v>
      </c>
      <c r="G63" s="181">
        <v>376.4</v>
      </c>
      <c r="H63" s="181">
        <v>376.1</v>
      </c>
      <c r="I63" s="181">
        <v>401.9</v>
      </c>
      <c r="J63" s="181">
        <v>400.9</v>
      </c>
      <c r="K63" s="181">
        <v>401.8</v>
      </c>
      <c r="L63" s="181">
        <v>398.6</v>
      </c>
      <c r="M63" s="181">
        <v>397.7</v>
      </c>
      <c r="N63" s="181">
        <v>392.4</v>
      </c>
      <c r="Q63" s="1"/>
    </row>
    <row r="64">
      <c r="B64" s="181" t="str">
        <v>成本不含税（销量加权）</v>
      </c>
      <c r="C64" s="181">
        <v>158.8</v>
      </c>
      <c r="D64" s="181">
        <v>156.4</v>
      </c>
      <c r="E64" s="181">
        <v>165.1</v>
      </c>
      <c r="F64" s="181">
        <v>162.9</v>
      </c>
      <c r="G64" s="181">
        <v>153</v>
      </c>
      <c r="H64" s="181">
        <v>155.3</v>
      </c>
      <c r="I64" s="181">
        <v>153.3</v>
      </c>
      <c r="J64" s="181">
        <v>152.5</v>
      </c>
      <c r="K64" s="181">
        <v>150.2</v>
      </c>
      <c r="L64" s="181">
        <v>146.6</v>
      </c>
      <c r="M64" s="181">
        <v>142.9</v>
      </c>
      <c r="N64" s="181">
        <v>139.6</v>
      </c>
      <c r="Q64" s="1"/>
    </row>
    <row r="65">
      <c r="B65" s="179" t="str">
        <v>退后销量</v>
      </c>
      <c r="C65" s="178">
        <f>C8/C63</f>
      </c>
      <c r="D65" s="178">
        <f>D8/D63</f>
      </c>
      <c r="E65" s="178">
        <f>E8/E63</f>
      </c>
      <c r="F65" s="178">
        <f>F8/F63</f>
      </c>
      <c r="G65" s="178">
        <f>G8/G63</f>
      </c>
      <c r="H65" s="178">
        <f>H8/H63</f>
      </c>
      <c r="I65" s="178">
        <f>I8/I63</f>
      </c>
      <c r="J65" s="178">
        <f>J8/J63</f>
      </c>
      <c r="K65" s="178">
        <f>K8/K63</f>
      </c>
      <c r="L65" s="178">
        <f>L8/L63</f>
      </c>
      <c r="M65" s="178">
        <f>M8/M63</f>
      </c>
      <c r="N65" s="178">
        <f>N8/N63</f>
      </c>
      <c r="Q65" s="1"/>
    </row>
    <row r="66">
      <c r="B66" s="19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Q66" s="1"/>
    </row>
    <row r="67">
      <c r="Q67" s="1"/>
    </row>
    <row r="68">
      <c r="Q68" s="1"/>
    </row>
    <row r="69">
      <c r="Q69" s="1"/>
    </row>
    <row r="70">
      <c r="Q70" s="1"/>
    </row>
    <row r="71">
      <c r="Q71" s="1"/>
    </row>
    <row r="72">
      <c r="Q72" s="1"/>
    </row>
    <row r="73">
      <c r="Q73" s="1"/>
    </row>
    <row r="74">
      <c r="Q74" s="1"/>
    </row>
    <row r="75">
      <c r="Q75" s="1"/>
    </row>
    <row r="76">
      <c r="Q76" s="1"/>
    </row>
    <row r="77">
      <c r="Q77" s="1"/>
    </row>
    <row r="78">
      <c r="Q78" s="1"/>
    </row>
    <row r="79">
      <c r="Q79" s="1"/>
    </row>
    <row r="80">
      <c r="Q80" s="1"/>
    </row>
    <row r="81">
      <c r="Q81" s="1"/>
    </row>
    <row r="82">
      <c r="C82" s="158">
        <f>C16-C18-C20-C26-C37-C44-C47-C58-C60</f>
      </c>
      <c r="D82" s="158">
        <f>D16-D18-D20-D26-D37-D44-D47-D58-D60</f>
      </c>
      <c r="E82" s="158">
        <f>E16-E18-E20-E26-E37-E44-E47-E58-E60</f>
      </c>
      <c r="F82" s="158">
        <f>F16-F18-F20-F26-F37-F44-F47-F58-F60</f>
      </c>
      <c r="G82" s="158">
        <f>G16-G18-G20-G26-G37-G44-G47-G58-G60</f>
      </c>
      <c r="H82" s="158">
        <f>H16-H18-H20-H26-H37-H44-H47-H58-H60</f>
      </c>
      <c r="I82" s="158">
        <f>I16-I18-I20-I26-I37-I44-I47-I58-I60</f>
      </c>
      <c r="J82" s="158">
        <f>J16-J18-J20-J26-J37-J44-J47-J58-J60</f>
      </c>
      <c r="K82" s="158">
        <f>K16-K18-K20-K26-K37-K44-K47-K58-K60</f>
      </c>
      <c r="L82" s="158">
        <f>L16-L18-L20-L26-L37-L44-L47-L58-L60</f>
      </c>
      <c r="M82" s="158">
        <f>M16-M18-M20-M26-M37-M44-M47-M58-M60</f>
      </c>
      <c r="N82" s="158">
        <f>N16-N18-N20-N26-N37-N44-N47-N58-N60</f>
      </c>
      <c r="O82" s="158">
        <f>O16-O18-O20-O26-O37-O44-O47-O58-O60</f>
      </c>
      <c r="Q82" s="1"/>
    </row>
    <row r="83">
      <c r="C83" s="119">
        <f>C10-C11-C12-C13-C15</f>
      </c>
      <c r="D83" s="119">
        <f>D10-D11-D12-D13-D15</f>
      </c>
      <c r="E83" s="119">
        <f>E10-E11-E12-E13-E15</f>
      </c>
      <c r="F83" s="119">
        <f>F10-F11-F12-F13-F15</f>
      </c>
      <c r="G83" s="119">
        <f>G10-G11-G12-G13-G15</f>
      </c>
      <c r="H83" s="119">
        <f>H10-H11-H12-H13-H15</f>
      </c>
      <c r="I83" s="119">
        <f>I10-I11-I12-I13-I15</f>
      </c>
      <c r="J83" s="119">
        <f>J10-J11-J12-J13-J15</f>
      </c>
      <c r="K83" s="119">
        <f>K10-K11-K12-K13-K15</f>
      </c>
      <c r="L83" s="119">
        <f>L10-L11-L12-L13-L15</f>
      </c>
      <c r="M83" s="119">
        <f>M10-M11-M12-M13-M15</f>
      </c>
      <c r="N83" s="119">
        <f>N10-N11-N12-N13-N15</f>
      </c>
      <c r="O83" s="119">
        <f>O10-O11-O12-O13-O15</f>
      </c>
      <c r="Q83" s="1"/>
    </row>
    <row r="84">
      <c r="Q84" s="1"/>
    </row>
    <row r="85">
      <c r="Q85" s="1"/>
    </row>
    <row r="86">
      <c r="Q86" s="1"/>
    </row>
    <row r="87">
      <c r="Q87" s="1"/>
    </row>
    <row r="88">
      <c r="Q88" s="1"/>
    </row>
    <row r="89">
      <c r="Q89" s="1"/>
    </row>
    <row r="90">
      <c r="Q90" s="1"/>
    </row>
    <row r="91">
      <c r="Q91" s="1"/>
    </row>
    <row r="92">
      <c r="Q92" s="1"/>
    </row>
    <row r="93">
      <c r="B93" s="1" t="str">
        <v>分摊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Q93" s="1"/>
    </row>
    <row r="94">
      <c r="B94" s="85" t="str">
        <v>品牌及内容费用</v>
      </c>
      <c r="C94" s="127">
        <f>SUM(C95:C99)</f>
      </c>
      <c r="D94" s="127">
        <f>SUM(D95:D99)</f>
      </c>
      <c r="E94" s="127">
        <f>SUM(E95:E99)</f>
      </c>
      <c r="F94" s="127">
        <f>SUM(F95:F99)</f>
      </c>
      <c r="G94" s="127">
        <f>SUM(G95:G99)</f>
      </c>
      <c r="H94" s="127">
        <f>SUM(H95:H99)</f>
      </c>
      <c r="I94" s="127">
        <f>SUM(I95:I99)</f>
      </c>
      <c r="J94" s="127">
        <f>SUM(J95:J99)</f>
      </c>
      <c r="K94" s="127">
        <f>SUM(K95:K99)</f>
      </c>
      <c r="L94" s="127">
        <f>SUM(L95:L99)</f>
      </c>
      <c r="M94" s="127">
        <f>SUM(M95:M99)</f>
      </c>
      <c r="N94" s="127">
        <f>SUM(N95:N99)</f>
      </c>
      <c r="Q94" s="1"/>
    </row>
    <row r="95">
      <c r="B95" s="90" t="str">
        <v>展会</v>
      </c>
      <c r="C95" s="170">
        <f>'线下门店-小计'!C27*(C15/('26年全渠道汇总'!C15-'线下门店-小计'!C15))</f>
      </c>
      <c r="D95" s="170">
        <f>'线下门店-小计'!D27*(D15/('26年全渠道汇总'!D15-'线下门店-小计'!D15))</f>
      </c>
      <c r="E95" s="170">
        <f>'线下门店-小计'!E27*(E15/('26年全渠道汇总'!E15-'线下门店-小计'!E15))</f>
      </c>
      <c r="F95" s="170">
        <f>'线下门店-小计'!F27*(F15/('26年全渠道汇总'!F15-'线下门店-小计'!F15))</f>
      </c>
      <c r="G95" s="170">
        <f>'线下门店-小计'!G27*(G15/('26年全渠道汇总'!G15-'线下门店-小计'!G15))</f>
      </c>
      <c r="H95" s="170">
        <f>'线下门店-小计'!H27*(H15/('26年全渠道汇总'!H15-'线下门店-小计'!H15))</f>
      </c>
      <c r="I95" s="170">
        <f>'线下门店-小计'!I27*(I15/('26年全渠道汇总'!I15-'线下门店-小计'!I15))</f>
      </c>
      <c r="J95" s="170">
        <f>'线下门店-小计'!J27*(J15/('26年全渠道汇总'!J15-'线下门店-小计'!J15))</f>
      </c>
      <c r="K95" s="170">
        <f>'线下门店-小计'!K27*(K15/('26年全渠道汇总'!K15-'线下门店-小计'!K15))</f>
      </c>
      <c r="L95" s="170">
        <f>'线下门店-小计'!L27*(L15/('26年全渠道汇总'!L15-'线下门店-小计'!L15))</f>
      </c>
      <c r="M95" s="170">
        <f>'线下门店-小计'!M27*(M15/('26年全渠道汇总'!M15-'线下门店-小计'!M15))</f>
      </c>
      <c r="N95" s="170">
        <f>'线下门店-小计'!N27*(N15/('26年全渠道汇总'!N15-'线下门店-小计'!N15))</f>
      </c>
      <c r="Q95" s="1"/>
    </row>
    <row r="96">
      <c r="B96" s="90" t="str">
        <v>品牌营销</v>
      </c>
      <c r="C96" s="170">
        <f>'线下门店-小计'!C28*(C15/('26年全渠道汇总'!C15-'线下门店-小计'!C15))</f>
      </c>
      <c r="D96" s="170">
        <f>'线下门店-小计'!D28*(D15/('26年全渠道汇总'!D15-'线下门店-小计'!D15))</f>
      </c>
      <c r="E96" s="170">
        <f>'线下门店-小计'!E28*(E15/('26年全渠道汇总'!E15-'线下门店-小计'!E15))</f>
      </c>
      <c r="F96" s="170">
        <f>'线下门店-小计'!F28*(F15/('26年全渠道汇总'!F15-'线下门店-小计'!F15))</f>
      </c>
      <c r="G96" s="170">
        <f>'线下门店-小计'!G28*(G15/('26年全渠道汇总'!G15-'线下门店-小计'!G15))</f>
      </c>
      <c r="H96" s="170">
        <f>'线下门店-小计'!H28*(H15/('26年全渠道汇总'!H15-'线下门店-小计'!H15))</f>
      </c>
      <c r="I96" s="170">
        <f>'线下门店-小计'!I28*(I15/('26年全渠道汇总'!I15-'线下门店-小计'!I15))</f>
      </c>
      <c r="J96" s="170">
        <f>'线下门店-小计'!J28*(J15/('26年全渠道汇总'!J15-'线下门店-小计'!J15))</f>
      </c>
      <c r="K96" s="170">
        <f>'线下门店-小计'!K28*(K15/('26年全渠道汇总'!K15-'线下门店-小计'!K15))</f>
      </c>
      <c r="L96" s="170">
        <f>'线下门店-小计'!L28*(L15/('26年全渠道汇总'!L15-'线下门店-小计'!L15))</f>
      </c>
      <c r="M96" s="170">
        <f>'线下门店-小计'!M28*(M15/('26年全渠道汇总'!M15-'线下门店-小计'!M15))</f>
      </c>
      <c r="N96" s="170">
        <f>'线下门店-小计'!N28*(N15/('26年全渠道汇总'!N15-'线下门店-小计'!N15))</f>
      </c>
      <c r="Q96" s="1"/>
    </row>
    <row r="97">
      <c r="B97" s="90" t="str">
        <v>内容素材制作</v>
      </c>
      <c r="C97" s="170">
        <f>'线下门店-小计'!C29*(C15/('26年全渠道汇总'!C15-'线下门店-小计'!C15))</f>
      </c>
      <c r="D97" s="170">
        <f>'线下门店-小计'!D29*(D15/('26年全渠道汇总'!D15-'线下门店-小计'!D15))</f>
      </c>
      <c r="E97" s="170">
        <f>'线下门店-小计'!E29*(E15/('26年全渠道汇总'!E15-'线下门店-小计'!E15))</f>
      </c>
      <c r="F97" s="170">
        <f>'线下门店-小计'!F29*(F15/('26年全渠道汇总'!F15-'线下门店-小计'!F15))</f>
      </c>
      <c r="G97" s="170">
        <f>'线下门店-小计'!G29*(G15/('26年全渠道汇总'!G15-'线下门店-小计'!G15))</f>
      </c>
      <c r="H97" s="170">
        <f>'线下门店-小计'!H29*(H15/('26年全渠道汇总'!H15-'线下门店-小计'!H15))</f>
      </c>
      <c r="I97" s="170">
        <f>'线下门店-小计'!I29*(I15/('26年全渠道汇总'!I15-'线下门店-小计'!I15))</f>
      </c>
      <c r="J97" s="170">
        <f>'线下门店-小计'!J29*(J15/('26年全渠道汇总'!J15-'线下门店-小计'!J15))</f>
      </c>
      <c r="K97" s="170">
        <f>'线下门店-小计'!K29*(K15/('26年全渠道汇总'!K15-'线下门店-小计'!K15))</f>
      </c>
      <c r="L97" s="170">
        <f>'线下门店-小计'!L29*(L15/('26年全渠道汇总'!L15-'线下门店-小计'!L15))</f>
      </c>
      <c r="M97" s="170">
        <f>'线下门店-小计'!M29*(M15/('26年全渠道汇总'!M15-'线下门店-小计'!M15))</f>
      </c>
      <c r="N97" s="170">
        <f>'线下门店-小计'!N29*(N15/('26年全渠道汇总'!N15-'线下门店-小计'!N15))</f>
      </c>
      <c r="Q97" s="1"/>
    </row>
    <row r="98">
      <c r="B98" s="90" t="str">
        <v>公关费用</v>
      </c>
      <c r="C98" s="170">
        <f>'线下门店-小计'!C30*(C15/('26年全渠道汇总'!C15-'线下门店-小计'!C15))</f>
      </c>
      <c r="D98" s="170">
        <f>'线下门店-小计'!D30*(D15/('26年全渠道汇总'!D15-'线下门店-小计'!D15))</f>
      </c>
      <c r="E98" s="170">
        <f>'线下门店-小计'!E30*(E15/('26年全渠道汇总'!E15-'线下门店-小计'!E15))</f>
      </c>
      <c r="F98" s="170">
        <f>'线下门店-小计'!F30*(F15/('26年全渠道汇总'!F15-'线下门店-小计'!F15))</f>
      </c>
      <c r="G98" s="170">
        <f>'线下门店-小计'!G30*(G15/('26年全渠道汇总'!G15-'线下门店-小计'!G15))</f>
      </c>
      <c r="H98" s="170">
        <f>'线下门店-小计'!H30*(H15/('26年全渠道汇总'!H15-'线下门店-小计'!H15))</f>
      </c>
      <c r="I98" s="170">
        <f>'线下门店-小计'!I30*(I15/('26年全渠道汇总'!I15-'线下门店-小计'!I15))</f>
      </c>
      <c r="J98" s="170">
        <f>'线下门店-小计'!J30*(J15/('26年全渠道汇总'!J15-'线下门店-小计'!J15))</f>
      </c>
      <c r="K98" s="170">
        <f>'线下门店-小计'!K30*(K15/('26年全渠道汇总'!K15-'线下门店-小计'!K15))</f>
      </c>
      <c r="L98" s="170">
        <f>'线下门店-小计'!L30*(L15/('26年全渠道汇总'!L15-'线下门店-小计'!L15))</f>
      </c>
      <c r="M98" s="170">
        <f>'线下门店-小计'!M30*(M15/('26年全渠道汇总'!M15-'线下门店-小计'!M15))</f>
      </c>
      <c r="N98" s="170">
        <f>'线下门店-小计'!N30*(N15/('26年全渠道汇总'!N15-'线下门店-小计'!N15))</f>
      </c>
      <c r="Q98" s="1"/>
    </row>
    <row r="99">
      <c r="B99" s="90" t="str">
        <v>达人种草、样机及加热</v>
      </c>
      <c r="C99" s="170">
        <f>'线下门店-小计'!C31*(C15/('26年全渠道汇总'!C15-'线下门店-小计'!C15))</f>
      </c>
      <c r="D99" s="170">
        <f>'线下门店-小计'!D31*(D15/('26年全渠道汇总'!D15-'线下门店-小计'!D15))</f>
      </c>
      <c r="E99" s="170">
        <f>'线下门店-小计'!E31*(E15/('26年全渠道汇总'!E15-'线下门店-小计'!E15))</f>
      </c>
      <c r="F99" s="170">
        <f>'线下门店-小计'!F31*(F15/('26年全渠道汇总'!F15-'线下门店-小计'!F15))</f>
      </c>
      <c r="G99" s="170">
        <f>'线下门店-小计'!G31*(G15/('26年全渠道汇总'!G15-'线下门店-小计'!G15))</f>
      </c>
      <c r="H99" s="170">
        <f>'线下门店-小计'!H31*(H15/('26年全渠道汇总'!H15-'线下门店-小计'!H15))</f>
      </c>
      <c r="I99" s="170">
        <f>'线下门店-小计'!I31*(I15/('26年全渠道汇总'!I15-'线下门店-小计'!I15))</f>
      </c>
      <c r="J99" s="170">
        <f>'线下门店-小计'!J31*(J15/('26年全渠道汇总'!J15-'线下门店-小计'!J15))</f>
      </c>
      <c r="K99" s="170">
        <f>'线下门店-小计'!K31*(K15/('26年全渠道汇总'!K15-'线下门店-小计'!K15))</f>
      </c>
      <c r="L99" s="170">
        <f>'线下门店-小计'!L31*(L15/('26年全渠道汇总'!L15-'线下门店-小计'!L15))</f>
      </c>
      <c r="M99" s="170">
        <f>'线下门店-小计'!M31*(M15/('26年全渠道汇总'!M15-'线下门店-小计'!M15))</f>
      </c>
      <c r="N99" s="170">
        <f>'线下门店-小计'!N31*(N15/('26年全渠道汇总'!N15-'线下门店-小计'!N15))</f>
      </c>
      <c r="Q99" s="1"/>
    </row>
    <row r="100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Q100" s="1"/>
    </row>
    <row r="101">
      <c r="B101" s="1" t="str">
        <v>总计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Q101" s="1"/>
    </row>
    <row r="102">
      <c r="B102" s="85" t="str">
        <v>品牌及内容费用</v>
      </c>
      <c r="C102" s="127">
        <f>SUM(C103:C107)</f>
      </c>
      <c r="D102" s="127">
        <f>SUM(D103:D107)</f>
      </c>
      <c r="E102" s="127">
        <f>SUM(E103:E107)</f>
      </c>
      <c r="F102" s="127">
        <f>SUM(F103:F107)</f>
      </c>
      <c r="G102" s="127">
        <f>SUM(G103:G107)</f>
      </c>
      <c r="H102" s="127">
        <f>SUM(H103:H107)</f>
      </c>
      <c r="I102" s="127">
        <f>SUM(I103:I107)</f>
      </c>
      <c r="J102" s="127">
        <f>SUM(J103:J107)</f>
      </c>
      <c r="K102" s="127">
        <f>SUM(K103:K107)</f>
      </c>
      <c r="L102" s="127">
        <f>SUM(L103:L107)</f>
      </c>
      <c r="M102" s="127">
        <f>SUM(M103:M107)</f>
      </c>
      <c r="N102" s="127">
        <f>SUM(N103:N107)</f>
      </c>
      <c r="Q102" s="1"/>
    </row>
    <row r="103">
      <c r="B103" s="90" t="str">
        <v>展会</v>
      </c>
      <c r="C103" s="170">
        <f>C95+C27</f>
      </c>
      <c r="D103" s="170">
        <f>D95+D27</f>
      </c>
      <c r="E103" s="170">
        <f>E95+E27</f>
      </c>
      <c r="F103" s="170">
        <f>F95+F27</f>
      </c>
      <c r="G103" s="170">
        <f>G95+G27</f>
      </c>
      <c r="H103" s="170">
        <f>H95+H27</f>
      </c>
      <c r="I103" s="170">
        <f>I95+I27</f>
      </c>
      <c r="J103" s="170">
        <f>J95+J27</f>
      </c>
      <c r="K103" s="170">
        <f>K95+K27</f>
      </c>
      <c r="L103" s="170">
        <f>L95+L27</f>
      </c>
      <c r="M103" s="170">
        <f>M95+M27</f>
      </c>
      <c r="N103" s="170">
        <f>N95+N27</f>
      </c>
      <c r="Q103" s="1"/>
    </row>
    <row r="104">
      <c r="B104" s="90" t="str">
        <v>品牌营销</v>
      </c>
      <c r="C104" s="170">
        <f>C96+C28</f>
      </c>
      <c r="D104" s="170">
        <f>D96+D28</f>
      </c>
      <c r="E104" s="170">
        <f>E96+E28</f>
      </c>
      <c r="F104" s="170">
        <f>F96+F28</f>
      </c>
      <c r="G104" s="170">
        <f>G96+G28</f>
      </c>
      <c r="H104" s="170">
        <f>H96+H28</f>
      </c>
      <c r="I104" s="170">
        <f>I96+I28</f>
      </c>
      <c r="J104" s="170">
        <f>J96+J28</f>
      </c>
      <c r="K104" s="170">
        <f>K96+K28</f>
      </c>
      <c r="L104" s="170">
        <f>L96+L28</f>
      </c>
      <c r="M104" s="170">
        <f>M96+M28</f>
      </c>
      <c r="N104" s="170">
        <f>N96+N28</f>
      </c>
      <c r="Q104" s="1"/>
    </row>
    <row r="105">
      <c r="B105" s="90" t="str">
        <v>内容素材制作</v>
      </c>
      <c r="C105" s="170">
        <f>C97+C29</f>
      </c>
      <c r="D105" s="170">
        <f>D97+D29</f>
      </c>
      <c r="E105" s="170">
        <f>E97+E29</f>
      </c>
      <c r="F105" s="170">
        <f>F97+F29</f>
      </c>
      <c r="G105" s="170">
        <f>G97+G29</f>
      </c>
      <c r="H105" s="170">
        <f>H97+H29</f>
      </c>
      <c r="I105" s="170">
        <f>I97+I29</f>
      </c>
      <c r="J105" s="170">
        <f>J97+J29</f>
      </c>
      <c r="K105" s="170">
        <f>K97+K29</f>
      </c>
      <c r="L105" s="170">
        <f>L97+L29</f>
      </c>
      <c r="M105" s="170">
        <f>M97+M29</f>
      </c>
      <c r="N105" s="170">
        <f>N97+N29</f>
      </c>
      <c r="Q105" s="1"/>
    </row>
    <row r="106">
      <c r="B106" s="90" t="str">
        <v>公关费用</v>
      </c>
      <c r="C106" s="170">
        <f>C98+C30</f>
      </c>
      <c r="D106" s="170">
        <f>D98+D30</f>
      </c>
      <c r="E106" s="170">
        <f>E98+E30</f>
      </c>
      <c r="F106" s="170">
        <f>F98+F30</f>
      </c>
      <c r="G106" s="170">
        <f>G98+G30</f>
      </c>
      <c r="H106" s="170">
        <f>H98+H30</f>
      </c>
      <c r="I106" s="170">
        <f>I98+I30</f>
      </c>
      <c r="J106" s="170">
        <f>J98+J30</f>
      </c>
      <c r="K106" s="170">
        <f>K98+K30</f>
      </c>
      <c r="L106" s="170">
        <f>L98+L30</f>
      </c>
      <c r="M106" s="170">
        <f>M98+M30</f>
      </c>
      <c r="N106" s="170">
        <f>N98+N30</f>
      </c>
      <c r="Q106" s="1"/>
    </row>
    <row r="107">
      <c r="B107" s="90" t="str">
        <v>达人种草、样机及加热</v>
      </c>
      <c r="C107" s="170">
        <f>C99+C31</f>
      </c>
      <c r="D107" s="170">
        <f>D99+D31</f>
      </c>
      <c r="E107" s="170">
        <f>E99+E31</f>
      </c>
      <c r="F107" s="170">
        <f>F99+F31</f>
      </c>
      <c r="G107" s="170">
        <f>G99+G31</f>
      </c>
      <c r="H107" s="170">
        <f>H99+H31</f>
      </c>
      <c r="I107" s="170">
        <f>I99+I31</f>
      </c>
      <c r="J107" s="170">
        <f>J99+J31</f>
      </c>
      <c r="K107" s="170">
        <f>K99+K31</f>
      </c>
      <c r="L107" s="170">
        <f>L99+L31</f>
      </c>
      <c r="M107" s="170">
        <f>M99+M31</f>
      </c>
      <c r="N107" s="170">
        <f>N99+N31</f>
      </c>
      <c r="Q107" s="1"/>
    </row>
    <row r="108">
      <c r="Q108" s="1"/>
    </row>
    <row r="109">
      <c r="Q109" s="1"/>
    </row>
    <row r="110">
      <c r="Q110" s="1"/>
    </row>
    <row r="111">
      <c r="Q111" s="1"/>
    </row>
    <row r="112">
      <c r="Q112" s="1"/>
    </row>
    <row r="113">
      <c r="Q113" s="1"/>
    </row>
    <row r="114">
      <c r="Q114" s="1"/>
    </row>
    <row r="115">
      <c r="Q115" s="1"/>
    </row>
    <row r="116">
      <c r="Q116" s="1"/>
    </row>
    <row r="117">
      <c r="Q117" s="1"/>
    </row>
    <row r="118">
      <c r="Q118" s="1"/>
    </row>
    <row r="119">
      <c r="Q119" s="1"/>
    </row>
    <row r="120">
      <c r="Q120" s="1"/>
    </row>
    <row r="121">
      <c r="Q121" s="1"/>
    </row>
    <row r="122">
      <c r="Q122" s="1"/>
    </row>
    <row r="123">
      <c r="Q123" s="1"/>
    </row>
    <row r="124">
      <c r="Q124" s="1"/>
    </row>
    <row r="125">
      <c r="Q125" s="1"/>
    </row>
    <row r="126">
      <c r="Q126" s="1"/>
    </row>
    <row r="127">
      <c r="Q127" s="1"/>
    </row>
    <row r="128">
      <c r="Q128" s="1"/>
    </row>
    <row r="129">
      <c r="Q129" s="1"/>
    </row>
    <row r="130">
      <c r="Q130" s="1"/>
    </row>
    <row r="131">
      <c r="Q131" s="1"/>
    </row>
    <row r="132">
      <c r="Q132" s="1"/>
    </row>
    <row r="133">
      <c r="Q133" s="1"/>
    </row>
    <row r="134">
      <c r="Q134" s="1"/>
    </row>
    <row r="135">
      <c r="Q135" s="1"/>
    </row>
    <row r="136">
      <c r="Q136" s="1"/>
    </row>
    <row r="137">
      <c r="Q137" s="1"/>
    </row>
    <row r="138">
      <c r="Q138" s="1"/>
    </row>
    <row r="139">
      <c r="Q139" s="1"/>
    </row>
    <row r="140">
      <c r="Q140" s="1"/>
    </row>
    <row r="141">
      <c r="Q141" s="1"/>
    </row>
    <row r="142">
      <c r="Q142" s="1"/>
    </row>
    <row r="143">
      <c r="Q143" s="1"/>
    </row>
    <row r="144">
      <c r="Q144" s="1"/>
    </row>
    <row r="145">
      <c r="Q145" s="1"/>
    </row>
    <row r="146">
      <c r="Q146" s="1"/>
    </row>
    <row r="147">
      <c r="Q147" s="1"/>
    </row>
    <row r="148">
      <c r="Q148" s="1"/>
    </row>
    <row r="149">
      <c r="Q149" s="1"/>
    </row>
    <row r="150">
      <c r="Q150" s="1"/>
    </row>
    <row r="151">
      <c r="Q151" s="1"/>
    </row>
    <row r="152">
      <c r="Q152" s="1"/>
    </row>
    <row r="153">
      <c r="Q153" s="1"/>
    </row>
    <row r="154">
      <c r="Q154" s="1"/>
    </row>
    <row r="155">
      <c r="Q155" s="1"/>
    </row>
    <row r="156">
      <c r="Q156" s="1"/>
    </row>
    <row r="157">
      <c r="Q157" s="1"/>
    </row>
    <row r="158">
      <c r="Q158" s="1"/>
    </row>
    <row r="159">
      <c r="Q159" s="1"/>
    </row>
    <row r="160">
      <c r="Q160" s="1"/>
    </row>
    <row r="161">
      <c r="Q161" s="1"/>
    </row>
    <row r="162">
      <c r="Q162" s="1"/>
    </row>
    <row r="163">
      <c r="Q163" s="1"/>
    </row>
    <row r="164">
      <c r="Q164" s="1"/>
    </row>
    <row r="165">
      <c r="Q165" s="1"/>
    </row>
    <row r="166">
      <c r="Q166" s="1"/>
    </row>
    <row r="167">
      <c r="Q167" s="1"/>
    </row>
    <row r="168">
      <c r="Q168" s="1"/>
    </row>
    <row r="169">
      <c r="Q169" s="1"/>
    </row>
    <row r="170">
      <c r="Q170" s="1"/>
    </row>
    <row r="171">
      <c r="Q171" s="1"/>
    </row>
    <row r="172">
      <c r="Q172" s="1"/>
    </row>
    <row r="173">
      <c r="Q173" s="1"/>
    </row>
    <row r="174">
      <c r="Q174" s="1"/>
    </row>
    <row r="175">
      <c r="Q175" s="1"/>
    </row>
    <row r="176">
      <c r="Q176" s="1"/>
    </row>
    <row r="177">
      <c r="Q177" s="1"/>
    </row>
    <row r="178">
      <c r="Q178" s="1"/>
    </row>
    <row r="179">
      <c r="Q179" s="1"/>
    </row>
    <row r="180">
      <c r="Q180" s="1"/>
    </row>
    <row r="181">
      <c r="Q181" s="1"/>
    </row>
    <row r="182">
      <c r="Q182" s="1"/>
    </row>
    <row r="183">
      <c r="Q183" s="1"/>
    </row>
    <row r="184">
      <c r="Q184" s="1"/>
    </row>
    <row r="185">
      <c r="Q185" s="1"/>
    </row>
    <row r="186">
      <c r="Q186" s="1"/>
    </row>
    <row r="187">
      <c r="Q187" s="1"/>
    </row>
    <row r="188">
      <c r="Q188" s="1"/>
    </row>
    <row r="189">
      <c r="Q189" s="1"/>
    </row>
    <row r="190">
      <c r="Q190" s="1"/>
    </row>
    <row r="191">
      <c r="Q191" s="1"/>
    </row>
    <row r="192">
      <c r="Q192" s="1"/>
    </row>
    <row r="193">
      <c r="Q193" s="1"/>
    </row>
    <row r="194">
      <c r="Q194" s="1"/>
    </row>
    <row r="195">
      <c r="Q195" s="1"/>
    </row>
    <row r="196">
      <c r="Q196" s="1"/>
    </row>
    <row r="197">
      <c r="Q197" s="1"/>
    </row>
    <row r="198">
      <c r="Q198" s="1"/>
    </row>
    <row r="199">
      <c r="Q199" s="1"/>
    </row>
    <row r="200">
      <c r="Q200" s="1"/>
    </row>
    <row r="201">
      <c r="Q201" s="1"/>
    </row>
  </sheetData>
  <picture r:id="rId1"/>
</worksheet>
</file>

<file path=xl/worksheets/sheet15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A1" s="1"/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  <c r="R1" s="1"/>
      <c r="S1" s="1"/>
      <c r="T1" s="1"/>
    </row>
    <row r="2">
      <c r="A2" s="1"/>
      <c r="B2" s="90" t="str">
        <v>退后销量</v>
      </c>
      <c r="C2" s="118">
        <v>695.2355866974902</v>
      </c>
      <c r="D2" s="118">
        <v>634.1159746801284</v>
      </c>
      <c r="E2" s="118">
        <v>741.0752957105116</v>
      </c>
      <c r="F2" s="118">
        <v>615.0160959247029</v>
      </c>
      <c r="G2" s="118">
        <v>1073.4131860549162</v>
      </c>
      <c r="H2" s="118">
        <v>928.254107513682</v>
      </c>
      <c r="I2" s="118">
        <v>603.5561686714475</v>
      </c>
      <c r="J2" s="118">
        <v>758.6471841655031</v>
      </c>
      <c r="K2" s="118">
        <v>836.5746894876393</v>
      </c>
      <c r="L2" s="118">
        <v>1108.5569629648992</v>
      </c>
      <c r="M2" s="118">
        <v>861.7865294448011</v>
      </c>
      <c r="N2" s="118">
        <v>770.1071114187583</v>
      </c>
      <c r="O2" s="118">
        <f>SUM(C2:N2)</f>
      </c>
      <c r="P2" s="118"/>
      <c r="Q2" s="1"/>
      <c r="R2" s="1"/>
      <c r="S2" s="1"/>
      <c r="T2" s="1"/>
    </row>
    <row r="3">
      <c r="A3" s="135"/>
      <c r="B3" s="94" t="str">
        <v>自补前GMV</v>
      </c>
      <c r="C3" s="94">
        <v>462808.123836769</v>
      </c>
      <c r="D3" s="94">
        <v>520659.1393163647</v>
      </c>
      <c r="E3" s="94">
        <v>347106.09287757654</v>
      </c>
      <c r="F3" s="94">
        <v>289255.07739798044</v>
      </c>
      <c r="G3" s="94">
        <v>636361.1702755569</v>
      </c>
      <c r="H3" s="94">
        <v>578510.1547959609</v>
      </c>
      <c r="I3" s="94">
        <v>347106.09287757654</v>
      </c>
      <c r="J3" s="94">
        <v>520659.1393163647</v>
      </c>
      <c r="K3" s="94">
        <v>347106.09287757654</v>
      </c>
      <c r="L3" s="94">
        <v>636361.1702755569</v>
      </c>
      <c r="M3" s="94">
        <v>578510.1547959609</v>
      </c>
      <c r="N3" s="94">
        <v>520659.1393163647</v>
      </c>
      <c r="O3" s="94">
        <f>SUM(C3:N3)</f>
      </c>
      <c r="P3" s="94"/>
      <c r="Q3" s="146" t="str">
        <v>渠道填写</v>
      </c>
      <c r="R3" s="1"/>
      <c r="S3" s="1"/>
      <c r="T3" s="1"/>
    </row>
    <row r="4">
      <c r="A4" s="135"/>
      <c r="B4" s="94" t="str">
        <v>自补前GSV</v>
      </c>
      <c r="C4" s="94">
        <v>323965.68668573804</v>
      </c>
      <c r="D4" s="94">
        <v>364461.3975214553</v>
      </c>
      <c r="E4" s="94">
        <v>242974.26501430356</v>
      </c>
      <c r="F4" s="94">
        <v>202478.5541785863</v>
      </c>
      <c r="G4" s="94">
        <v>445452.8191928898</v>
      </c>
      <c r="H4" s="94">
        <v>404957.1083571726</v>
      </c>
      <c r="I4" s="94">
        <v>242974.26501430356</v>
      </c>
      <c r="J4" s="94">
        <v>364461.3975214553</v>
      </c>
      <c r="K4" s="94">
        <v>242974.26501430356</v>
      </c>
      <c r="L4" s="94">
        <v>445452.81919288984</v>
      </c>
      <c r="M4" s="94">
        <v>404957.1083571726</v>
      </c>
      <c r="N4" s="94">
        <v>364461.3975214553</v>
      </c>
      <c r="O4" s="94">
        <f>SUM(C4:N4)</f>
      </c>
      <c r="P4" s="94"/>
      <c r="Q4" s="146" t="str">
        <v>渠道填写</v>
      </c>
      <c r="R4" s="1"/>
      <c r="S4" s="1"/>
      <c r="T4" s="1"/>
    </row>
    <row r="5">
      <c r="A5" s="135"/>
      <c r="B5" s="94" t="str">
        <v>国补自补费用</v>
      </c>
      <c r="C5" s="94">
        <f>C4*15%</f>
      </c>
      <c r="D5" s="94">
        <f>D4*15%</f>
      </c>
      <c r="E5" s="94">
        <f>E4*15%</f>
      </c>
      <c r="F5" s="94">
        <f>F4*15%</f>
      </c>
      <c r="G5" s="94">
        <f>G4*15%</f>
      </c>
      <c r="H5" s="94">
        <f>H4*15%</f>
      </c>
      <c r="I5" s="94">
        <f>I4*15%</f>
      </c>
      <c r="J5" s="94">
        <f>J4*15%</f>
      </c>
      <c r="K5" s="94">
        <f>K4*15%</f>
      </c>
      <c r="L5" s="94">
        <f>L4*15%</f>
      </c>
      <c r="M5" s="94">
        <f>M4*15%</f>
      </c>
      <c r="N5" s="94">
        <f>N4*15%</f>
      </c>
      <c r="O5" s="94">
        <f>SUM(C5:N5)</f>
      </c>
      <c r="P5" s="94"/>
      <c r="Q5" s="126" t="str">
        <v>渠道填写</v>
      </c>
      <c r="R5" s="1"/>
      <c r="S5" s="1"/>
      <c r="T5" s="1"/>
    </row>
    <row r="6">
      <c r="A6" s="135"/>
      <c r="B6" s="98" t="str">
        <v>GMV（国补后）</v>
      </c>
      <c r="C6" s="98">
        <f>C3*0.85</f>
      </c>
      <c r="D6" s="98">
        <f>D3*0.85</f>
      </c>
      <c r="E6" s="98">
        <f>E3*0.85</f>
      </c>
      <c r="F6" s="98">
        <f>F3*0.85</f>
      </c>
      <c r="G6" s="98">
        <f>G3*0.85</f>
      </c>
      <c r="H6" s="98">
        <f>H3*0.85</f>
      </c>
      <c r="I6" s="98">
        <f>I3*0.85</f>
      </c>
      <c r="J6" s="98">
        <f>J3*0.85</f>
      </c>
      <c r="K6" s="98">
        <f>K3*0.85</f>
      </c>
      <c r="L6" s="98">
        <f>L3*0.85</f>
      </c>
      <c r="M6" s="98">
        <f>M3*0.85</f>
      </c>
      <c r="N6" s="98">
        <f>N3*0.85</f>
      </c>
      <c r="O6" s="98">
        <f>SUM(C6:N6)</f>
      </c>
      <c r="P6" s="98"/>
      <c r="Q6" s="126" t="str">
        <v>渠道填写</v>
      </c>
      <c r="R6" s="1"/>
      <c r="S6" s="1"/>
      <c r="T6" s="1"/>
    </row>
    <row r="7">
      <c r="A7" s="135"/>
      <c r="B7" s="102" t="str">
        <v>退货率（发货前+后）</v>
      </c>
      <c r="C7" s="102">
        <f>(C3-C4)/C3</f>
      </c>
      <c r="D7" s="102">
        <f>(D3-D4)/D3</f>
      </c>
      <c r="E7" s="102">
        <f>(E3-E4)/E3</f>
      </c>
      <c r="F7" s="102">
        <f>(F3-F4)/F3</f>
      </c>
      <c r="G7" s="102">
        <f>(G3-G4)/G3</f>
      </c>
      <c r="H7" s="102">
        <f>(H3-H4)/H3</f>
      </c>
      <c r="I7" s="102">
        <f>(I3-I4)/I3</f>
      </c>
      <c r="J7" s="102">
        <f>(J3-J4)/J3</f>
      </c>
      <c r="K7" s="102">
        <f>(K3-K4)/K3</f>
      </c>
      <c r="L7" s="102">
        <f>(L3-L4)/L3</f>
      </c>
      <c r="M7" s="102">
        <f>(M3-M4)/M3</f>
      </c>
      <c r="N7" s="102">
        <f>(N3-N4)/N3</f>
      </c>
      <c r="O7" s="102">
        <f>(O3-O4)/O3</f>
      </c>
      <c r="P7" s="102"/>
      <c r="Q7" s="1" t="str">
        <v>渠道填写</v>
      </c>
      <c r="R7" s="1"/>
      <c r="S7" s="1"/>
      <c r="T7" s="1"/>
    </row>
    <row r="8">
      <c r="A8" s="135"/>
      <c r="B8" s="98" t="str">
        <v>GSV（国补后）</v>
      </c>
      <c r="C8" s="98">
        <f>C4-C5</f>
      </c>
      <c r="D8" s="98">
        <f>D4-D5</f>
      </c>
      <c r="E8" s="98">
        <f>E4-E5</f>
      </c>
      <c r="F8" s="98">
        <f>F4-F5</f>
      </c>
      <c r="G8" s="98">
        <f>G4-G5</f>
      </c>
      <c r="H8" s="98">
        <f>H4-H5</f>
      </c>
      <c r="I8" s="98">
        <f>I4-I5</f>
      </c>
      <c r="J8" s="98">
        <f>J4-J5</f>
      </c>
      <c r="K8" s="98">
        <f>K4-K5</f>
      </c>
      <c r="L8" s="98">
        <f>L4-L5</f>
      </c>
      <c r="M8" s="98">
        <f>M4-M5</f>
      </c>
      <c r="N8" s="98">
        <f>N4-N5</f>
      </c>
      <c r="O8" s="98">
        <f>SUM(C8:N8)</f>
      </c>
      <c r="P8" s="98"/>
      <c r="Q8" s="1" t="str">
        <v>渠道填写</v>
      </c>
      <c r="R8" s="1"/>
      <c r="S8" s="1"/>
      <c r="T8" s="1"/>
    </row>
    <row r="9">
      <c r="A9" s="1"/>
      <c r="B9" s="90"/>
      <c r="C9" s="88">
        <f>C10-C14-C15</f>
      </c>
      <c r="D9" s="88">
        <f>D10-D14-D15</f>
      </c>
      <c r="E9" s="88">
        <f>E10-E14-E15</f>
      </c>
      <c r="F9" s="88">
        <f>F10-F14-F15</f>
      </c>
      <c r="G9" s="88">
        <f>G10-G14-G15</f>
      </c>
      <c r="H9" s="88">
        <f>H10-H14-H15</f>
      </c>
      <c r="I9" s="88">
        <f>I10-I14-I15</f>
      </c>
      <c r="J9" s="88">
        <f>J10-J14-J15</f>
      </c>
      <c r="K9" s="88">
        <f>K10-K14-K15</f>
      </c>
      <c r="L9" s="88">
        <f>L10-L14-L15</f>
      </c>
      <c r="M9" s="88">
        <f>M10-M14-M15</f>
      </c>
      <c r="N9" s="88">
        <f>N10-N14-N15</f>
      </c>
      <c r="O9" s="88">
        <f>O10-O14-O15</f>
      </c>
      <c r="P9" s="118"/>
      <c r="Q9" s="1"/>
      <c r="R9" s="1"/>
      <c r="S9" s="1"/>
      <c r="T9" s="1"/>
    </row>
    <row r="10">
      <c r="A10" s="135"/>
      <c r="B10" s="98" t="str">
        <v>零售价（去除退货后的）</v>
      </c>
      <c r="C10" s="98">
        <v>353269.1156321867</v>
      </c>
      <c r="D10" s="98">
        <v>397427.7550862101</v>
      </c>
      <c r="E10" s="98">
        <v>264951.83672414004</v>
      </c>
      <c r="F10" s="98">
        <v>220793.1972701167</v>
      </c>
      <c r="G10" s="98">
        <v>485745.0339942567</v>
      </c>
      <c r="H10" s="98">
        <v>441586.3945402334</v>
      </c>
      <c r="I10" s="98">
        <v>264951.83672414004</v>
      </c>
      <c r="J10" s="98">
        <v>397427.7550862101</v>
      </c>
      <c r="K10" s="98">
        <v>264951.83672414004</v>
      </c>
      <c r="L10" s="98">
        <v>485745.03399425675</v>
      </c>
      <c r="M10" s="98">
        <v>441586.3945402334</v>
      </c>
      <c r="N10" s="98">
        <v>397427.7550862101</v>
      </c>
      <c r="O10" s="98">
        <f>SUM(C10:N10)</f>
      </c>
      <c r="P10" s="98"/>
      <c r="Q10" s="1"/>
      <c r="R10" s="1"/>
      <c r="S10" s="1"/>
      <c r="T10" s="1"/>
    </row>
    <row r="11">
      <c r="A11" s="1"/>
      <c r="B11" s="85" t="str">
        <v>合同折扣及返利 (线下）</v>
      </c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>
        <f>SUM(C11:N11)</f>
      </c>
      <c r="P11" s="127"/>
      <c r="Q11" s="1" t="str">
        <v>线下渠道填写</v>
      </c>
      <c r="R11" s="1"/>
      <c r="S11" s="1"/>
      <c r="T11" s="1"/>
    </row>
    <row r="12">
      <c r="A12" s="1"/>
      <c r="B12" s="85" t="str">
        <v>国补自补 （线上）</v>
      </c>
      <c r="C12" s="127">
        <f>C4*15%</f>
      </c>
      <c r="D12" s="127">
        <f>D4*15%</f>
      </c>
      <c r="E12" s="127">
        <f>E4*15%</f>
      </c>
      <c r="F12" s="127">
        <f>F4*15%</f>
      </c>
      <c r="G12" s="127">
        <f>G4*15%</f>
      </c>
      <c r="H12" s="127">
        <f>H4*15%</f>
      </c>
      <c r="I12" s="127">
        <f>I4*15%</f>
      </c>
      <c r="J12" s="127">
        <f>J4*15%</f>
      </c>
      <c r="K12" s="127">
        <f>K4*15%</f>
      </c>
      <c r="L12" s="127">
        <f>L4*15%</f>
      </c>
      <c r="M12" s="127">
        <f>M4*15%</f>
      </c>
      <c r="N12" s="127">
        <f>N4*15%</f>
      </c>
      <c r="O12" s="127">
        <f>SUM(C12:N12)</f>
      </c>
      <c r="P12" s="173">
        <v>0.15</v>
      </c>
      <c r="Q12" s="1" t="str">
        <v>渠道填写</v>
      </c>
      <c r="R12" s="54">
        <f>O12/$O$10</f>
      </c>
      <c r="S12" s="1"/>
      <c r="T12" s="1"/>
    </row>
    <row r="13">
      <c r="A13" s="1"/>
      <c r="B13" s="85" t="str">
        <v>红包消费券等促销折扣</v>
      </c>
      <c r="C13" s="127">
        <v>29303.42894644867</v>
      </c>
      <c r="D13" s="127">
        <v>32966.357564754755</v>
      </c>
      <c r="E13" s="127">
        <v>21977.5717098365</v>
      </c>
      <c r="F13" s="127">
        <v>18314.64309153042</v>
      </c>
      <c r="G13" s="127">
        <v>40292.214801366914</v>
      </c>
      <c r="H13" s="127">
        <v>36629.28618306084</v>
      </c>
      <c r="I13" s="127">
        <v>21977.5717098365</v>
      </c>
      <c r="J13" s="127">
        <v>32966.357564754755</v>
      </c>
      <c r="K13" s="127">
        <v>21977.5717098365</v>
      </c>
      <c r="L13" s="127">
        <v>40292.21480136692</v>
      </c>
      <c r="M13" s="127">
        <v>36629.28618306084</v>
      </c>
      <c r="N13" s="127">
        <v>32966.357564754755</v>
      </c>
      <c r="O13" s="127">
        <f>SUM(C13:N13)</f>
      </c>
      <c r="P13" s="127"/>
      <c r="Q13" s="1" t="str">
        <v>渠道填写</v>
      </c>
      <c r="R13" s="54">
        <f>O13/$O$10</f>
      </c>
      <c r="S13" s="1"/>
      <c r="T13" s="1"/>
    </row>
    <row r="14">
      <c r="A14" s="1"/>
      <c r="B14" s="83" t="str">
        <v>TTL 折扣合计</v>
      </c>
      <c r="C14" s="115">
        <f>SUM(C11:C13)</f>
      </c>
      <c r="D14" s="115">
        <f>SUM(D11:D13)</f>
      </c>
      <c r="E14" s="115">
        <f>SUM(E11:E13)</f>
      </c>
      <c r="F14" s="115">
        <f>SUM(F11:F13)</f>
      </c>
      <c r="G14" s="115">
        <f>SUM(G11:G13)</f>
      </c>
      <c r="H14" s="115">
        <f>SUM(H11:H13)</f>
      </c>
      <c r="I14" s="115">
        <f>SUM(I11:I13)</f>
      </c>
      <c r="J14" s="115">
        <f>SUM(J11:J13)</f>
      </c>
      <c r="K14" s="115">
        <f>SUM(K11:K13)</f>
      </c>
      <c r="L14" s="115">
        <f>SUM(L11:L13)</f>
      </c>
      <c r="M14" s="115">
        <f>SUM(M11:M13)</f>
      </c>
      <c r="N14" s="115">
        <f>SUM(N11:N13)</f>
      </c>
      <c r="O14" s="115">
        <f>SUM(C14:N14)</f>
      </c>
      <c r="P14" s="115"/>
      <c r="Q14" s="1"/>
      <c r="R14" s="1"/>
      <c r="S14" s="1"/>
      <c r="T14" s="1"/>
    </row>
    <row r="15">
      <c r="A15" s="135"/>
      <c r="B15" s="98" t="str">
        <v>GSV</v>
      </c>
      <c r="C15" s="98">
        <f>C8</f>
      </c>
      <c r="D15" s="98">
        <f>D8</f>
      </c>
      <c r="E15" s="98">
        <f>E8</f>
      </c>
      <c r="F15" s="98">
        <f>F8</f>
      </c>
      <c r="G15" s="98">
        <f>G8</f>
      </c>
      <c r="H15" s="98">
        <f>H8</f>
      </c>
      <c r="I15" s="98">
        <f>I8</f>
      </c>
      <c r="J15" s="98">
        <f>J8</f>
      </c>
      <c r="K15" s="98">
        <f>K8</f>
      </c>
      <c r="L15" s="98">
        <f>L8</f>
      </c>
      <c r="M15" s="98">
        <f>M8</f>
      </c>
      <c r="N15" s="98">
        <f>N8</f>
      </c>
      <c r="O15" s="98">
        <f>SUM(C15:N15)</f>
      </c>
      <c r="P15" s="98"/>
      <c r="Q15" s="1"/>
      <c r="R15" s="1"/>
      <c r="S15" s="1"/>
      <c r="T15" s="1"/>
    </row>
    <row r="16">
      <c r="A16" s="135"/>
      <c r="B16" s="98" t="str">
        <v>营业收入</v>
      </c>
      <c r="C16" s="98">
        <f>+C8/1.13</f>
      </c>
      <c r="D16" s="98">
        <f>+D8/1.13</f>
      </c>
      <c r="E16" s="98">
        <f>+E8/1.13</f>
      </c>
      <c r="F16" s="98">
        <f>+F8/1.13</f>
      </c>
      <c r="G16" s="98">
        <f>+G8/1.13</f>
      </c>
      <c r="H16" s="98">
        <f>+H8/1.13</f>
      </c>
      <c r="I16" s="98">
        <f>+I8/1.13</f>
      </c>
      <c r="J16" s="98">
        <f>+J8/1.13</f>
      </c>
      <c r="K16" s="98">
        <f>+K8/1.13</f>
      </c>
      <c r="L16" s="98">
        <f>+L8/1.13</f>
      </c>
      <c r="M16" s="98">
        <f>+M8/1.13</f>
      </c>
      <c r="N16" s="98">
        <f>+N8/1.13</f>
      </c>
      <c r="O16" s="98">
        <f>SUM(C16:N16)</f>
      </c>
      <c r="P16" s="98"/>
      <c r="Q16" s="1"/>
      <c r="R16" s="1"/>
      <c r="S16" s="1"/>
      <c r="T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>
      <c r="A18" s="1"/>
      <c r="B18" s="85" t="str">
        <v>标准主品配件成本</v>
      </c>
      <c r="C18" s="127">
        <f>C64*C65</f>
      </c>
      <c r="D18" s="127">
        <f>D64*D65</f>
      </c>
      <c r="E18" s="127">
        <f>E64*E65</f>
      </c>
      <c r="F18" s="127">
        <f>F64*F65</f>
      </c>
      <c r="G18" s="127">
        <f>G64*G65</f>
      </c>
      <c r="H18" s="127">
        <f>H64*H65</f>
      </c>
      <c r="I18" s="127">
        <f>I64*I65</f>
      </c>
      <c r="J18" s="127">
        <f>J64*J65</f>
      </c>
      <c r="K18" s="127">
        <f>K64*K65</f>
      </c>
      <c r="L18" s="127">
        <f>L64*L65</f>
      </c>
      <c r="M18" s="127">
        <f>M64*M65</f>
      </c>
      <c r="N18" s="127">
        <f>N64*N65</f>
      </c>
      <c r="O18" s="127">
        <f>SUM(C18:N18)</f>
      </c>
      <c r="P18" s="128">
        <f>O18/O16</f>
      </c>
      <c r="Q18" s="1"/>
      <c r="R18" s="1"/>
      <c r="S18" s="1"/>
      <c r="T18" s="1"/>
    </row>
    <row r="19">
      <c r="A19" s="1"/>
      <c r="B19" s="83" t="str">
        <v>产品毛利</v>
      </c>
      <c r="C19" s="115">
        <f>C16-C18</f>
      </c>
      <c r="D19" s="115">
        <f>D16-D18</f>
      </c>
      <c r="E19" s="115">
        <f>E16-E18</f>
      </c>
      <c r="F19" s="115">
        <f>F16-F18</f>
      </c>
      <c r="G19" s="115">
        <f>G16-G18</f>
      </c>
      <c r="H19" s="115">
        <f>H16-H18</f>
      </c>
      <c r="I19" s="115">
        <f>I16-I18</f>
      </c>
      <c r="J19" s="115">
        <f>J16-J18</f>
      </c>
      <c r="K19" s="115">
        <f>K16-K18</f>
      </c>
      <c r="L19" s="115">
        <f>L16-L18</f>
      </c>
      <c r="M19" s="115">
        <f>M16-M18</f>
      </c>
      <c r="N19" s="115">
        <f>N16-N18</f>
      </c>
      <c r="O19" s="115">
        <f>SUM(C19:N19)</f>
      </c>
      <c r="P19" s="116">
        <f>O19/$O$16</f>
      </c>
      <c r="Q19" s="1"/>
      <c r="R19" s="1"/>
      <c r="S19" s="1"/>
      <c r="T19" s="1"/>
    </row>
    <row r="20">
      <c r="A20" s="118"/>
      <c r="B20" s="90" t="str">
        <v>头程/尾程物流/仓储费用</v>
      </c>
      <c r="C20" s="118">
        <f>C16*2.5%</f>
      </c>
      <c r="D20" s="118">
        <f>D16*2.5%</f>
      </c>
      <c r="E20" s="118">
        <f>E16*2.5%</f>
      </c>
      <c r="F20" s="118">
        <f>F16*2.5%</f>
      </c>
      <c r="G20" s="118">
        <f>G16*2.5%</f>
      </c>
      <c r="H20" s="118">
        <f>H16*2.5%</f>
      </c>
      <c r="I20" s="118">
        <f>I16*2.5%</f>
      </c>
      <c r="J20" s="118">
        <f>J16*2.5%</f>
      </c>
      <c r="K20" s="118">
        <f>K16*2.5%</f>
      </c>
      <c r="L20" s="118">
        <f>L16*2.5%</f>
      </c>
      <c r="M20" s="118">
        <f>M16*2.5%</f>
      </c>
      <c r="N20" s="118">
        <f>N16*2.5%</f>
      </c>
      <c r="O20" s="118">
        <f>SUM(C20:N20)</f>
      </c>
      <c r="P20" s="120">
        <v>0.025</v>
      </c>
      <c r="Q20" s="1"/>
      <c r="R20" s="1"/>
      <c r="S20" s="1"/>
      <c r="T20" s="1"/>
    </row>
    <row r="21">
      <c r="A21" s="1"/>
      <c r="B21" s="83" t="str">
        <v>成本合计（产品+物流）</v>
      </c>
      <c r="C21" s="115">
        <f>SUM(C18,C20)</f>
      </c>
      <c r="D21" s="115">
        <f>SUM(D18,D20)</f>
      </c>
      <c r="E21" s="115">
        <f>SUM(E18,E20)</f>
      </c>
      <c r="F21" s="115">
        <f>SUM(F18,F20)</f>
      </c>
      <c r="G21" s="115">
        <f>SUM(G18,G20)</f>
      </c>
      <c r="H21" s="115">
        <f>SUM(H18,H20)</f>
      </c>
      <c r="I21" s="115">
        <f>SUM(I18,I20)</f>
      </c>
      <c r="J21" s="115">
        <f>SUM(J18,J20)</f>
      </c>
      <c r="K21" s="115">
        <f>SUM(K18,K20)</f>
      </c>
      <c r="L21" s="115">
        <f>SUM(L18,L20)</f>
      </c>
      <c r="M21" s="115">
        <f>SUM(M18,M20)</f>
      </c>
      <c r="N21" s="115">
        <f>SUM(N18,N20)</f>
      </c>
      <c r="O21" s="115">
        <f>SUM(C21:N21)</f>
      </c>
      <c r="P21" s="116">
        <f>O21/$O$16</f>
      </c>
      <c r="Q21" s="1"/>
      <c r="R21" s="1"/>
      <c r="S21" s="1"/>
      <c r="T21" s="1"/>
    </row>
    <row r="22">
      <c r="A22" s="135"/>
      <c r="B22" s="98" t="str">
        <v>净毛利</v>
      </c>
      <c r="C22" s="98">
        <f>C16-C21</f>
      </c>
      <c r="D22" s="98">
        <f>D16-D21</f>
      </c>
      <c r="E22" s="98">
        <f>E16-E21</f>
      </c>
      <c r="F22" s="98">
        <f>F16-F21</f>
      </c>
      <c r="G22" s="98">
        <f>G16-G21</f>
      </c>
      <c r="H22" s="98">
        <f>H16-H21</f>
      </c>
      <c r="I22" s="98">
        <f>I16-I21</f>
      </c>
      <c r="J22" s="98">
        <f>J16-J21</f>
      </c>
      <c r="K22" s="98">
        <f>K16-K21</f>
      </c>
      <c r="L22" s="98">
        <f>L16-L21</f>
      </c>
      <c r="M22" s="98">
        <f>M16-M21</f>
      </c>
      <c r="N22" s="98">
        <f>N16-N21</f>
      </c>
      <c r="O22" s="98">
        <f>SUM(C22:N22)</f>
      </c>
      <c r="P22" s="162">
        <f>O22/$O$16</f>
      </c>
      <c r="Q22" s="1"/>
      <c r="R22" s="1"/>
      <c r="S22" s="1"/>
      <c r="T22" s="1"/>
    </row>
    <row r="23">
      <c r="A23" s="1"/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120"/>
      <c r="Q23" s="1"/>
      <c r="R23" s="1"/>
      <c r="S23" s="1"/>
      <c r="T23" s="1"/>
    </row>
    <row r="24">
      <c r="A24" s="1"/>
      <c r="B24" s="102" t="str">
        <v>合计毛利率</v>
      </c>
      <c r="C24" s="165">
        <f>IFERROR(1-C21/C16,0)</f>
      </c>
      <c r="D24" s="165">
        <f>IFERROR(1-D21/D16,0)</f>
      </c>
      <c r="E24" s="165">
        <f>IFERROR(1-E21/E16,0)</f>
      </c>
      <c r="F24" s="165">
        <f>IFERROR(1-F21/F16,0)</f>
      </c>
      <c r="G24" s="165">
        <f>IFERROR(1-G21/G16,0)</f>
      </c>
      <c r="H24" s="165">
        <f>IFERROR(1-H21/H16,0)</f>
      </c>
      <c r="I24" s="165">
        <f>IFERROR(1-I21/I16,0)</f>
      </c>
      <c r="J24" s="165">
        <f>IFERROR(1-J21/J16,0)</f>
      </c>
      <c r="K24" s="165">
        <f>IFERROR(1-K21/K16,0)</f>
      </c>
      <c r="L24" s="165">
        <f>IFERROR(1-L21/L16,0)</f>
      </c>
      <c r="M24" s="165">
        <f>IFERROR(1-M21/M16,0)</f>
      </c>
      <c r="N24" s="165">
        <f>IFERROR(1-N21/N16,0)</f>
      </c>
      <c r="O24" s="165">
        <f>IFERROR(1-O21/O16,0)</f>
      </c>
      <c r="P24" s="120"/>
      <c r="Q24" s="1"/>
      <c r="R24" s="1"/>
      <c r="S24" s="1"/>
      <c r="T24" s="1"/>
    </row>
    <row r="25">
      <c r="A25" s="1"/>
      <c r="B25" s="1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20"/>
      <c r="Q25" s="1"/>
      <c r="R25" s="1"/>
      <c r="S25" s="1"/>
      <c r="T25" s="1"/>
    </row>
    <row r="26">
      <c r="A26" s="1"/>
      <c r="B26" s="85" t="str">
        <v>品牌及内容费用</v>
      </c>
      <c r="C26" s="127">
        <f>SUM(C27:C31)</f>
      </c>
      <c r="D26" s="127">
        <f>SUM(D27:D31)</f>
      </c>
      <c r="E26" s="127">
        <f>SUM(E27:E31)</f>
      </c>
      <c r="F26" s="127">
        <f>SUM(F27:F31)</f>
      </c>
      <c r="G26" s="127">
        <f>SUM(G27:G31)</f>
      </c>
      <c r="H26" s="127">
        <f>SUM(H27:H31)</f>
      </c>
      <c r="I26" s="127">
        <f>SUM(I27:I31)</f>
      </c>
      <c r="J26" s="127">
        <f>SUM(J27:J31)</f>
      </c>
      <c r="K26" s="127">
        <f>SUM(K27:K31)</f>
      </c>
      <c r="L26" s="127">
        <f>SUM(L27:L31)</f>
      </c>
      <c r="M26" s="127">
        <f>SUM(M27:M31)</f>
      </c>
      <c r="N26" s="127">
        <f>SUM(N27:N31)</f>
      </c>
      <c r="O26" s="127">
        <f>SUM(C26:N26)</f>
      </c>
      <c r="P26" s="128">
        <f>O26/$O$16</f>
      </c>
      <c r="Q26" s="1"/>
      <c r="R26" s="1"/>
      <c r="S26" s="1"/>
      <c r="T26" s="1"/>
    </row>
    <row r="27">
      <c r="A27" s="118"/>
      <c r="B27" s="90" t="str">
        <v>展会</v>
      </c>
      <c r="C27" s="170">
        <v>0</v>
      </c>
      <c r="D27" s="170">
        <v>0</v>
      </c>
      <c r="E27" s="170">
        <v>517.0201544816515</v>
      </c>
      <c r="F27" s="170">
        <v>431.60110106018374</v>
      </c>
      <c r="G27" s="170">
        <v>921.8032083405685</v>
      </c>
      <c r="H27" s="170">
        <v>811.866331856942</v>
      </c>
      <c r="I27" s="170">
        <v>521.1557150680462</v>
      </c>
      <c r="J27" s="170">
        <v>721.0941760613969</v>
      </c>
      <c r="K27" s="170">
        <v>572.5874423495519</v>
      </c>
      <c r="L27" s="170">
        <v>968.3162222840482</v>
      </c>
      <c r="M27" s="170">
        <v>732.3450487166845</v>
      </c>
      <c r="N27" s="170">
        <v>0</v>
      </c>
      <c r="O27" s="118">
        <f>SUM(C27:N27)</f>
      </c>
      <c r="P27" s="120">
        <f>O27/$O$16</f>
      </c>
      <c r="Q27" s="90"/>
      <c r="R27" s="1"/>
      <c r="S27" s="1"/>
      <c r="T27" s="1"/>
    </row>
    <row r="28">
      <c r="A28" s="118"/>
      <c r="B28" s="90" t="str">
        <v>品牌营销</v>
      </c>
      <c r="C28" s="170">
        <v>0</v>
      </c>
      <c r="D28" s="170">
        <v>0</v>
      </c>
      <c r="E28" s="170">
        <v>0</v>
      </c>
      <c r="F28" s="170">
        <v>517.9213212722206</v>
      </c>
      <c r="G28" s="170">
        <v>5530.819250043411</v>
      </c>
      <c r="H28" s="170">
        <v>2597.972261942214</v>
      </c>
      <c r="I28" s="170">
        <v>0</v>
      </c>
      <c r="J28" s="170">
        <v>865.3130112736765</v>
      </c>
      <c r="K28" s="170">
        <v>1832.279815518566</v>
      </c>
      <c r="L28" s="170">
        <v>1161.9794667408578</v>
      </c>
      <c r="M28" s="170">
        <v>878.8140584600212</v>
      </c>
      <c r="N28" s="170">
        <v>0</v>
      </c>
      <c r="O28" s="118">
        <f>SUM(C28:N28)</f>
      </c>
      <c r="P28" s="120">
        <f>O28/$O$16</f>
      </c>
      <c r="Q28" s="90"/>
      <c r="R28" s="1"/>
      <c r="S28" s="1"/>
      <c r="T28" s="1"/>
    </row>
    <row r="29">
      <c r="A29" s="118"/>
      <c r="B29" s="90" t="str">
        <v>内容素材制作</v>
      </c>
      <c r="C29" s="170">
        <v>254.40297420791737</v>
      </c>
      <c r="D29" s="170">
        <v>207.9597435053643</v>
      </c>
      <c r="E29" s="170">
        <v>206.80806179266065</v>
      </c>
      <c r="F29" s="170">
        <v>863.2022021203675</v>
      </c>
      <c r="G29" s="170">
        <v>5530.819250043411</v>
      </c>
      <c r="H29" s="170">
        <v>3572.2118601705447</v>
      </c>
      <c r="I29" s="170">
        <v>0</v>
      </c>
      <c r="J29" s="170">
        <v>865.3130112736765</v>
      </c>
      <c r="K29" s="170">
        <v>1832.279815518566</v>
      </c>
      <c r="L29" s="170">
        <v>1936.6324445680964</v>
      </c>
      <c r="M29" s="170">
        <v>1464.690097433369</v>
      </c>
      <c r="N29" s="170">
        <v>256.7033975614248</v>
      </c>
      <c r="O29" s="118">
        <f>SUM(C29:N29)</f>
      </c>
      <c r="P29" s="120">
        <f>O29/$O$16</f>
      </c>
      <c r="Q29" s="1"/>
      <c r="R29" s="1"/>
      <c r="S29" s="1"/>
      <c r="T29" s="1"/>
    </row>
    <row r="30">
      <c r="A30" s="118"/>
      <c r="B30" s="90" t="str">
        <v>公关费用</v>
      </c>
      <c r="C30" s="170">
        <v>254.40297420791737</v>
      </c>
      <c r="D30" s="170">
        <v>207.9597435053643</v>
      </c>
      <c r="E30" s="170">
        <v>1654.4644943412852</v>
      </c>
      <c r="F30" s="170">
        <v>172.64044042407352</v>
      </c>
      <c r="G30" s="170">
        <v>1106.1638500086822</v>
      </c>
      <c r="H30" s="170">
        <v>324.74653274277676</v>
      </c>
      <c r="I30" s="170">
        <v>208.4622860272185</v>
      </c>
      <c r="J30" s="170">
        <v>288.4376704245588</v>
      </c>
      <c r="K30" s="170">
        <v>229.03497693982075</v>
      </c>
      <c r="L30" s="170">
        <v>774.6529778272386</v>
      </c>
      <c r="M30" s="170">
        <v>585.8760389733476</v>
      </c>
      <c r="N30" s="170">
        <v>256.7033975614248</v>
      </c>
      <c r="O30" s="118">
        <f>SUM(C30:N30)</f>
      </c>
      <c r="P30" s="120">
        <f>O30/$O$16</f>
      </c>
      <c r="Q30" s="1"/>
      <c r="R30" s="1"/>
      <c r="S30" s="1"/>
      <c r="T30" s="1"/>
    </row>
    <row collapsed="true" r="31">
      <c r="A31" s="118"/>
      <c r="B31" s="90" t="str">
        <v>达人种草、样机及加热</v>
      </c>
      <c r="C31" s="170">
        <v>2544.029742079174</v>
      </c>
      <c r="D31" s="170">
        <v>10397.987175268216</v>
      </c>
      <c r="E31" s="170">
        <v>16544.644943412848</v>
      </c>
      <c r="F31" s="170">
        <v>8632.022021203675</v>
      </c>
      <c r="G31" s="170">
        <v>33184.91550026046</v>
      </c>
      <c r="H31" s="170">
        <v>19484.791964566608</v>
      </c>
      <c r="I31" s="170">
        <v>4169.24572054437</v>
      </c>
      <c r="J31" s="170">
        <v>5768.753408491175</v>
      </c>
      <c r="K31" s="170">
        <v>2290.3497693982076</v>
      </c>
      <c r="L31" s="170">
        <v>19366.324445680966</v>
      </c>
      <c r="M31" s="170">
        <v>5858.760389733476</v>
      </c>
      <c r="N31" s="170">
        <v>5134.067951228497</v>
      </c>
      <c r="O31" s="118">
        <f>SUM(C31:N31)</f>
      </c>
      <c r="P31" s="120">
        <f>O31/$O$16</f>
      </c>
      <c r="Q31" s="1"/>
      <c r="R31" s="1"/>
      <c r="S31" s="1"/>
      <c r="T31" s="1"/>
    </row>
    <row hidden="true" outlineLevel="1" r="32">
      <c r="A32" s="118"/>
      <c r="B32" s="90" t="str">
        <v>展会(费率)</v>
      </c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20"/>
      <c r="Q32" s="1"/>
      <c r="R32" s="1"/>
      <c r="S32" s="1"/>
      <c r="T32" s="1"/>
    </row>
    <row hidden="true" outlineLevel="1" r="33">
      <c r="A33" s="118"/>
      <c r="B33" s="90" t="str">
        <v>品牌营销（费率）</v>
      </c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20"/>
      <c r="Q33" s="1"/>
      <c r="R33" s="1"/>
      <c r="S33" s="1"/>
      <c r="T33" s="1"/>
    </row>
    <row hidden="true" outlineLevel="1" r="34">
      <c r="A34" s="118"/>
      <c r="B34" s="90" t="str">
        <v>内容素材制作（费率）</v>
      </c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20"/>
      <c r="Q34" s="1"/>
      <c r="R34" s="1"/>
      <c r="S34" s="1"/>
      <c r="T34" s="1"/>
    </row>
    <row hidden="true" outlineLevel="1" r="35">
      <c r="A35" s="118"/>
      <c r="B35" s="90" t="str">
        <v>公关费用（费率）</v>
      </c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20"/>
      <c r="Q35" s="1"/>
      <c r="R35" s="1"/>
      <c r="S35" s="1"/>
      <c r="T35" s="1"/>
    </row>
    <row hidden="true" outlineLevel="1" r="36">
      <c r="A36" s="118"/>
      <c r="B36" s="90" t="str">
        <v>达人种草、样机及加热（费率）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18"/>
      <c r="P36" s="120"/>
      <c r="Q36" s="1"/>
      <c r="R36" s="1"/>
      <c r="S36" s="1"/>
      <c r="T36" s="1"/>
    </row>
    <row r="37">
      <c r="A37" s="1"/>
      <c r="B37" s="85" t="str">
        <v>效果广告</v>
      </c>
      <c r="C37" s="127">
        <f>SUM(C38:C40)</f>
      </c>
      <c r="D37" s="127">
        <f>SUM(D38:D40)</f>
      </c>
      <c r="E37" s="127">
        <f>SUM(E38:E40)</f>
      </c>
      <c r="F37" s="127">
        <f>SUM(F38:F40)</f>
      </c>
      <c r="G37" s="127">
        <f>SUM(G38:G40)</f>
      </c>
      <c r="H37" s="127">
        <f>SUM(H38:H40)</f>
      </c>
      <c r="I37" s="127">
        <f>SUM(I38:I40)</f>
      </c>
      <c r="J37" s="127">
        <f>SUM(J38:J40)</f>
      </c>
      <c r="K37" s="127">
        <f>SUM(K38:K40)</f>
      </c>
      <c r="L37" s="127">
        <f>SUM(L38:L40)</f>
      </c>
      <c r="M37" s="127">
        <f>SUM(M38:M40)</f>
      </c>
      <c r="N37" s="127">
        <f>SUM(N38:N40)</f>
      </c>
      <c r="O37" s="127">
        <f>SUM(C37:N37)</f>
      </c>
      <c r="P37" s="128">
        <f>O37/$O$16</f>
      </c>
      <c r="Q37" s="1"/>
      <c r="R37" s="1"/>
      <c r="S37" s="1"/>
      <c r="T37" s="1"/>
    </row>
    <row r="38">
      <c r="A38" s="118"/>
      <c r="B38" s="90" t="str">
        <v>站内投放</v>
      </c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18">
        <f>SUM(C38:N38)</f>
      </c>
      <c r="P38" s="120">
        <f>O38/$O$16</f>
      </c>
      <c r="Q38" s="1" t="str">
        <v>投放填写</v>
      </c>
      <c r="R38" s="1"/>
      <c r="S38" s="1"/>
      <c r="T38" s="1"/>
    </row>
    <row r="39">
      <c r="A39" s="118"/>
      <c r="B39" s="90" t="str">
        <v>千川投放</v>
      </c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18">
        <f>SUM(C39:N39)</f>
      </c>
      <c r="P39" s="120">
        <f>O39/$O$16</f>
      </c>
      <c r="Q39" s="1" t="str">
        <v>投放填写</v>
      </c>
      <c r="R39" s="1"/>
      <c r="S39" s="1"/>
      <c r="T39" s="1"/>
    </row>
    <row collapsed="true" r="40">
      <c r="A40" s="118"/>
      <c r="B40" s="90" t="str">
        <v>站外投放</v>
      </c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18">
        <f>SUM(C40:N40)</f>
      </c>
      <c r="P40" s="120">
        <f>O40/$O$16</f>
      </c>
      <c r="Q40" s="1" t="str">
        <v>投放填写</v>
      </c>
      <c r="R40" s="1"/>
      <c r="S40" s="1"/>
      <c r="T40" s="1"/>
    </row>
    <row hidden="true" outlineLevel="1" r="41">
      <c r="A41" s="118"/>
      <c r="B41" s="90" t="str">
        <v>站内投放（费率）</v>
      </c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20">
        <f>O38/$O$16</f>
      </c>
      <c r="P41" s="1"/>
      <c r="Q41" s="1" t="str">
        <v>投放填写</v>
      </c>
      <c r="R41" s="1"/>
      <c r="S41" s="1"/>
      <c r="T41" s="1"/>
    </row>
    <row hidden="true" outlineLevel="1" r="42">
      <c r="A42" s="118"/>
      <c r="B42" s="90" t="str">
        <v>千川投放（费率）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20">
        <f>O39/$O$16</f>
      </c>
      <c r="P42" s="1"/>
      <c r="Q42" s="1" t="str">
        <v>投放填写</v>
      </c>
      <c r="R42" s="1"/>
      <c r="S42" s="1"/>
      <c r="T42" s="1"/>
    </row>
    <row hidden="true" outlineLevel="1" r="43">
      <c r="A43" s="118"/>
      <c r="B43" s="90" t="str">
        <v>站外投放（费率）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20">
        <f>O40/$O$16</f>
      </c>
      <c r="P43" s="1"/>
      <c r="Q43" s="1" t="str">
        <v>投放填写</v>
      </c>
      <c r="R43" s="1"/>
      <c r="S43" s="1"/>
      <c r="T43" s="1"/>
    </row>
    <row r="44">
      <c r="A44" s="1"/>
      <c r="B44" s="85" t="str">
        <v>线上营销费用</v>
      </c>
      <c r="C44" s="127">
        <f>SUM(C45:C46)</f>
      </c>
      <c r="D44" s="127">
        <f>SUM(D45:D46)</f>
      </c>
      <c r="E44" s="127">
        <f>SUM(E45:E46)</f>
      </c>
      <c r="F44" s="127">
        <f>SUM(F45:F46)</f>
      </c>
      <c r="G44" s="127">
        <f>SUM(G45:G46)</f>
      </c>
      <c r="H44" s="127">
        <f>SUM(H45:H46)</f>
      </c>
      <c r="I44" s="127">
        <f>SUM(I45:I46)</f>
      </c>
      <c r="J44" s="127">
        <f>SUM(J45:J46)</f>
      </c>
      <c r="K44" s="127">
        <f>SUM(K45:K46)</f>
      </c>
      <c r="L44" s="127">
        <f>SUM(L45:L46)</f>
      </c>
      <c r="M44" s="127">
        <f>SUM(M45:M46)</f>
      </c>
      <c r="N44" s="127">
        <f>SUM(N45:N46)</f>
      </c>
      <c r="O44" s="127">
        <f>SUM(C44:N44)</f>
      </c>
      <c r="P44" s="128">
        <f>O44/$O$16</f>
      </c>
      <c r="Q44" s="1"/>
      <c r="R44" s="1"/>
      <c r="S44" s="1"/>
      <c r="T44" s="1"/>
    </row>
    <row r="45">
      <c r="A45" s="118"/>
      <c r="B45" s="90" t="str">
        <v>直播费用</v>
      </c>
      <c r="C45" s="170">
        <f>(C8*15%+C8*10%)/1.06</f>
      </c>
      <c r="D45" s="170">
        <f>(D8*15%+D8*10%)/1.06</f>
      </c>
      <c r="E45" s="170">
        <f>(E8*15%+E8*10%)/1.06</f>
      </c>
      <c r="F45" s="170">
        <f>(F8*15%+F8*10%)/1.06</f>
      </c>
      <c r="G45" s="170">
        <f>(G8*15%+G8*10%)/1.06</f>
      </c>
      <c r="H45" s="170">
        <f>(H8*15%+H8*10%)/1.06</f>
      </c>
      <c r="I45" s="170">
        <f>(I8*15%+I8*10%)/1.06</f>
      </c>
      <c r="J45" s="170">
        <f>(J8*15%+J8*10%)/1.06</f>
      </c>
      <c r="K45" s="170">
        <f>(K8*15%+K8*10%)/1.06</f>
      </c>
      <c r="L45" s="170">
        <f>(L8*15%+L8*10%)/1.06</f>
      </c>
      <c r="M45" s="170">
        <f>(M8*15%+M8*10%)/1.06</f>
      </c>
      <c r="N45" s="170">
        <f>(N8*15%+N8*10%)/1.06</f>
      </c>
      <c r="O45" s="118">
        <f>SUM(C45:N45)</f>
      </c>
      <c r="P45" s="120">
        <v>0.01</v>
      </c>
      <c r="Q45" s="1" t="str">
        <v>达人填写</v>
      </c>
      <c r="R45" s="1"/>
      <c r="S45" s="1"/>
      <c r="T45" s="1"/>
    </row>
    <row r="46">
      <c r="A46" s="118"/>
      <c r="B46" s="90" t="str">
        <v>赠品费用</v>
      </c>
      <c r="C46" s="170">
        <f>C8*3%</f>
      </c>
      <c r="D46" s="170">
        <f>D8*3%</f>
      </c>
      <c r="E46" s="170">
        <f>E8*3%</f>
      </c>
      <c r="F46" s="170">
        <f>F8*3%</f>
      </c>
      <c r="G46" s="170">
        <f>G8*3%</f>
      </c>
      <c r="H46" s="170">
        <f>H8*3%</f>
      </c>
      <c r="I46" s="170">
        <f>I8*3%</f>
      </c>
      <c r="J46" s="170">
        <f>J8*3%</f>
      </c>
      <c r="K46" s="170">
        <f>K8*3%</f>
      </c>
      <c r="L46" s="170">
        <f>L8*3%</f>
      </c>
      <c r="M46" s="170">
        <f>M8*3%</f>
      </c>
      <c r="N46" s="170">
        <f>N8*3%</f>
      </c>
      <c r="O46" s="170">
        <f>O4*3%</f>
      </c>
      <c r="P46" s="120">
        <v>0.02</v>
      </c>
      <c r="Q46" s="90" t="str">
        <v>渠道填写</v>
      </c>
      <c r="R46" s="1"/>
      <c r="S46" s="1"/>
      <c r="T46" s="1"/>
    </row>
    <row r="47">
      <c r="A47" s="1"/>
      <c r="B47" s="85" t="str">
        <v>线下市场费用</v>
      </c>
      <c r="C47" s="127">
        <f>SUM(C48:C51)</f>
      </c>
      <c r="D47" s="127">
        <f>SUM(D48:D51)</f>
      </c>
      <c r="E47" s="127">
        <f>SUM(E48:E51)</f>
      </c>
      <c r="F47" s="127">
        <f>SUM(F48:F51)</f>
      </c>
      <c r="G47" s="127">
        <f>SUM(G48:G51)</f>
      </c>
      <c r="H47" s="127">
        <f>SUM(H48:H51)</f>
      </c>
      <c r="I47" s="127">
        <f>SUM(I48:I51)</f>
      </c>
      <c r="J47" s="127">
        <f>SUM(J48:J51)</f>
      </c>
      <c r="K47" s="127">
        <f>SUM(K48:K51)</f>
      </c>
      <c r="L47" s="127">
        <f>SUM(L48:L51)</f>
      </c>
      <c r="M47" s="127">
        <f>SUM(M48:M51)</f>
      </c>
      <c r="N47" s="127">
        <f>SUM(N48:N51)</f>
      </c>
      <c r="O47" s="127">
        <f>SUM(C47:N47)</f>
      </c>
      <c r="P47" s="128">
        <f>O47/$O$16</f>
      </c>
      <c r="Q47" s="1"/>
      <c r="R47" s="1"/>
      <c r="S47" s="1"/>
      <c r="T47" s="1"/>
    </row>
    <row r="48">
      <c r="A48" s="118"/>
      <c r="B48" s="90" t="str">
        <v>线下渠道展陈、促销费用</v>
      </c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18">
        <f>SUM(C48:N48)</f>
      </c>
      <c r="P48" s="120">
        <f>O48/$O$16</f>
      </c>
      <c r="Q48" s="90" t="str">
        <v>线下门店</v>
      </c>
      <c r="R48" s="1"/>
      <c r="S48" s="1"/>
      <c r="T48" s="1"/>
    </row>
    <row r="49">
      <c r="A49" s="118"/>
      <c r="B49" s="90" t="str">
        <v>租金+物业+水电</v>
      </c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18">
        <f>SUM(C49:N49)</f>
      </c>
      <c r="P49" s="120">
        <f>O49/$O$16</f>
      </c>
      <c r="Q49" s="90" t="str">
        <v>线下门店</v>
      </c>
      <c r="R49" s="1"/>
      <c r="S49" s="1"/>
      <c r="T49" s="1"/>
    </row>
    <row r="50">
      <c r="A50" s="118"/>
      <c r="B50" s="90" t="str">
        <v>门店人工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18">
        <f>SUM(C50:N50)</f>
      </c>
      <c r="P50" s="120">
        <f>O50/$O$16</f>
      </c>
      <c r="Q50" s="90" t="str">
        <v>线下门店</v>
      </c>
      <c r="R50" s="1"/>
      <c r="S50" s="1"/>
      <c r="T50" s="1"/>
    </row>
    <row r="51">
      <c r="A51" s="1"/>
      <c r="B51" s="90" t="str">
        <v>门店展陈装修等其他</v>
      </c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18">
        <f>SUM(C51:N51)</f>
      </c>
      <c r="P51" s="120">
        <f>O51/$O$16</f>
      </c>
      <c r="Q51" s="90" t="str">
        <v>线下门店</v>
      </c>
      <c r="R51" s="1"/>
      <c r="S51" s="1"/>
      <c r="T51" s="1"/>
    </row>
    <row r="52">
      <c r="A52" s="1"/>
      <c r="B52" s="83" t="str">
        <v>市场投入费用</v>
      </c>
      <c r="C52" s="115">
        <f>SUM(C26,C37,C44,C47)</f>
      </c>
      <c r="D52" s="115">
        <f>SUM(D26,D37,D44,D47)</f>
      </c>
      <c r="E52" s="115">
        <f>SUM(E26,E37,E44,E47)</f>
      </c>
      <c r="F52" s="115">
        <f>SUM(F26,F37,F44,F47)</f>
      </c>
      <c r="G52" s="115">
        <f>SUM(G26,G37,G44,G47)</f>
      </c>
      <c r="H52" s="115">
        <f>SUM(H26,H37,H44,H47)</f>
      </c>
      <c r="I52" s="115">
        <f>SUM(I26,I37,I44,I47)</f>
      </c>
      <c r="J52" s="115">
        <f>SUM(J26,J37,J44,J47)</f>
      </c>
      <c r="K52" s="115">
        <f>SUM(K26,K37,K44,K47)</f>
      </c>
      <c r="L52" s="115">
        <f>SUM(L26,L37,L44,L47)</f>
      </c>
      <c r="M52" s="115">
        <f>SUM(M26,M37,M44,M47)</f>
      </c>
      <c r="N52" s="115">
        <f>SUM(N26,N37,N44,N47)</f>
      </c>
      <c r="O52" s="115">
        <f>SUM(C52:N52)</f>
      </c>
      <c r="P52" s="116">
        <f>O52/$O$16</f>
      </c>
      <c r="Q52" s="1"/>
      <c r="R52" s="1"/>
      <c r="S52" s="1"/>
      <c r="T52" s="1"/>
    </row>
    <row r="53">
      <c r="A53" s="118"/>
      <c r="B53" s="90" t="str">
        <v>平台佣金</v>
      </c>
      <c r="C53" s="170">
        <f>C16*15%</f>
      </c>
      <c r="D53" s="170">
        <f>D16*15%</f>
      </c>
      <c r="E53" s="170">
        <f>E16*15%</f>
      </c>
      <c r="F53" s="170">
        <f>F16*15%</f>
      </c>
      <c r="G53" s="170">
        <f>G16*15%</f>
      </c>
      <c r="H53" s="170">
        <f>H16*15%</f>
      </c>
      <c r="I53" s="170">
        <f>I16*15%</f>
      </c>
      <c r="J53" s="170">
        <f>J16*15%</f>
      </c>
      <c r="K53" s="170">
        <f>K16*15%</f>
      </c>
      <c r="L53" s="170">
        <f>L16*15%</f>
      </c>
      <c r="M53" s="170">
        <f>M16*15%</f>
      </c>
      <c r="N53" s="170">
        <f>N16*15%</f>
      </c>
      <c r="O53" s="118">
        <f>SUM(C53:N53)</f>
      </c>
      <c r="P53" s="120">
        <v>0.036</v>
      </c>
      <c r="Q53" s="1"/>
      <c r="R53" s="1"/>
      <c r="S53" s="1"/>
      <c r="T53" s="1"/>
    </row>
    <row r="54">
      <c r="A54" s="118"/>
      <c r="B54" s="90" t="str">
        <v>平台其他费用</v>
      </c>
      <c r="C54" s="170">
        <f>C16*$P$54</f>
      </c>
      <c r="D54" s="170">
        <f>D16*$P$54</f>
      </c>
      <c r="E54" s="170">
        <f>E16*$P$54</f>
      </c>
      <c r="F54" s="170">
        <f>F16*$P$54</f>
      </c>
      <c r="G54" s="170">
        <f>G16*$P$54</f>
      </c>
      <c r="H54" s="170">
        <f>H16*$P$54</f>
      </c>
      <c r="I54" s="170">
        <f>I16*$P$54</f>
      </c>
      <c r="J54" s="170">
        <f>J16*$P$54</f>
      </c>
      <c r="K54" s="170">
        <f>K16*$P$54</f>
      </c>
      <c r="L54" s="170">
        <f>L16*$P$54</f>
      </c>
      <c r="M54" s="170">
        <f>M16*$P$54</f>
      </c>
      <c r="N54" s="170">
        <f>N16*$P$54</f>
      </c>
      <c r="O54" s="118">
        <f>SUM(C54:N54)</f>
      </c>
      <c r="P54" s="120">
        <v>0.014</v>
      </c>
      <c r="Q54" s="1"/>
      <c r="R54" s="1"/>
      <c r="S54" s="1"/>
      <c r="T54" s="1"/>
    </row>
    <row r="55">
      <c r="A55" s="118"/>
      <c r="B55" s="90" t="str">
        <v>售后费用</v>
      </c>
      <c r="C55" s="170">
        <v>16352.386996046658</v>
      </c>
      <c r="D55" s="170">
        <v>10693.010320046407</v>
      </c>
      <c r="E55" s="170">
        <v>8340.464780262433</v>
      </c>
      <c r="F55" s="170">
        <v>12835.50189959973</v>
      </c>
      <c r="G55" s="170">
        <v>11023.092903611892</v>
      </c>
      <c r="H55" s="170">
        <v>7722.437321323481</v>
      </c>
      <c r="I55" s="170">
        <v>10759.494259638255</v>
      </c>
      <c r="J55" s="170">
        <v>8324.11271829554</v>
      </c>
      <c r="K55" s="170">
        <v>11470.100855969511</v>
      </c>
      <c r="L55" s="170">
        <v>9053.656132247708</v>
      </c>
      <c r="M55" s="170">
        <v>7929.945219847029</v>
      </c>
      <c r="N55" s="170">
        <v>7737.0636332579</v>
      </c>
      <c r="O55" s="118">
        <f>SUM(C55:N55)</f>
      </c>
      <c r="P55" s="120">
        <v>0.03</v>
      </c>
      <c r="Q55" s="1"/>
      <c r="R55" s="1"/>
      <c r="S55" s="1"/>
      <c r="T55" s="1"/>
    </row>
    <row r="56">
      <c r="A56" s="118"/>
      <c r="B56" s="90" t="str">
        <v>短信及店铺软件</v>
      </c>
      <c r="C56" s="170">
        <f>C16*$P$56</f>
      </c>
      <c r="D56" s="170">
        <f>D16*$P$56</f>
      </c>
      <c r="E56" s="170">
        <f>E16*$P$56</f>
      </c>
      <c r="F56" s="170">
        <f>F16*$P$56</f>
      </c>
      <c r="G56" s="170">
        <f>G16*$P$56</f>
      </c>
      <c r="H56" s="170">
        <f>H16*$P$56</f>
      </c>
      <c r="I56" s="170">
        <f>I16*$P$56</f>
      </c>
      <c r="J56" s="170">
        <f>J16*$P$56</f>
      </c>
      <c r="K56" s="170">
        <f>K16*$P$56</f>
      </c>
      <c r="L56" s="170">
        <f>L16*$P$56</f>
      </c>
      <c r="M56" s="170">
        <f>M16*$P$56</f>
      </c>
      <c r="N56" s="170">
        <f>N16*$P$56</f>
      </c>
      <c r="O56" s="118">
        <f>SUM(C56:N56)</f>
      </c>
      <c r="P56" s="120">
        <v>0.001</v>
      </c>
      <c r="Q56" s="1"/>
      <c r="R56" s="1"/>
      <c r="S56" s="1"/>
      <c r="T56" s="1"/>
    </row>
    <row r="57">
      <c r="A57" s="118"/>
      <c r="B57" s="90" t="str">
        <v>其他运营费用（咨询调研等）</v>
      </c>
      <c r="C57" s="170">
        <v>1909.9878755425555</v>
      </c>
      <c r="D57" s="170"/>
      <c r="E57" s="170"/>
      <c r="F57" s="170"/>
      <c r="G57" s="170">
        <v>763.9951502170222</v>
      </c>
      <c r="H57" s="170"/>
      <c r="I57" s="170"/>
      <c r="J57" s="170"/>
      <c r="K57" s="170"/>
      <c r="L57" s="170">
        <v>763.9951502170222</v>
      </c>
      <c r="M57" s="170"/>
      <c r="N57" s="170">
        <v>2291.9854506510665</v>
      </c>
      <c r="O57" s="118">
        <f>SUM(C57:N57)</f>
      </c>
      <c r="P57" s="120">
        <f>O57/$O$16</f>
      </c>
      <c r="Q57" s="90"/>
      <c r="R57" s="1"/>
      <c r="S57" s="1"/>
      <c r="T57" s="1"/>
    </row>
    <row r="58">
      <c r="A58" s="1"/>
      <c r="B58" s="83" t="str">
        <v>店铺运营费用</v>
      </c>
      <c r="C58" s="115">
        <f>SUM(C53:C57)</f>
      </c>
      <c r="D58" s="115">
        <f>SUM(D53:D57)</f>
      </c>
      <c r="E58" s="115">
        <f>SUM(E53:E57)</f>
      </c>
      <c r="F58" s="115">
        <f>SUM(F53:F57)</f>
      </c>
      <c r="G58" s="115">
        <f>SUM(G53:G57)</f>
      </c>
      <c r="H58" s="115">
        <f>SUM(H53:H57)</f>
      </c>
      <c r="I58" s="115">
        <f>SUM(I53:I57)</f>
      </c>
      <c r="J58" s="115">
        <f>SUM(J53:J57)</f>
      </c>
      <c r="K58" s="115">
        <f>SUM(K53:K57)</f>
      </c>
      <c r="L58" s="115">
        <f>SUM(L53:L57)</f>
      </c>
      <c r="M58" s="115">
        <f>SUM(M53:M57)</f>
      </c>
      <c r="N58" s="115">
        <f>SUM(N53:N57)</f>
      </c>
      <c r="O58" s="115">
        <f>SUM(C58:N58)</f>
      </c>
      <c r="P58" s="116">
        <f>O58/$O$16</f>
      </c>
      <c r="Q58" s="1"/>
      <c r="R58" s="1"/>
      <c r="S58" s="1"/>
      <c r="T58" s="1"/>
    </row>
    <row r="59">
      <c r="A59" s="135"/>
      <c r="B59" s="98" t="str">
        <v>A&amp;P 合计数</v>
      </c>
      <c r="C59" s="98">
        <f>SUM(C52,C58)</f>
      </c>
      <c r="D59" s="98">
        <f>SUM(D52,D58)</f>
      </c>
      <c r="E59" s="98">
        <f>SUM(E52,E58)</f>
      </c>
      <c r="F59" s="98">
        <f>SUM(F52,F58)</f>
      </c>
      <c r="G59" s="98">
        <f>SUM(G52,G58)</f>
      </c>
      <c r="H59" s="98">
        <f>SUM(H52,H58)</f>
      </c>
      <c r="I59" s="98">
        <f>SUM(I52,I58)</f>
      </c>
      <c r="J59" s="98">
        <f>SUM(J52,J58)</f>
      </c>
      <c r="K59" s="98">
        <f>SUM(K52,K58)</f>
      </c>
      <c r="L59" s="98">
        <f>SUM(L52,L58)</f>
      </c>
      <c r="M59" s="98">
        <f>SUM(M52,M58)</f>
      </c>
      <c r="N59" s="98">
        <f>SUM(N52,N58)</f>
      </c>
      <c r="O59" s="98">
        <f>SUM(C59:N59)</f>
      </c>
      <c r="P59" s="162">
        <f>O59/$O$16</f>
      </c>
      <c r="Q59" s="135"/>
      <c r="R59" s="175"/>
      <c r="S59" s="1"/>
      <c r="T59" s="1"/>
    </row>
    <row r="60">
      <c r="A60" s="135"/>
      <c r="B60" s="98" t="str">
        <v>店铺利润</v>
      </c>
      <c r="C60" s="98">
        <f>C22-C59</f>
      </c>
      <c r="D60" s="98">
        <f>D22-D59</f>
      </c>
      <c r="E60" s="98">
        <f>E22-E59</f>
      </c>
      <c r="F60" s="98">
        <f>F22-F59</f>
      </c>
      <c r="G60" s="98">
        <f>G22-G59</f>
      </c>
      <c r="H60" s="98">
        <f>H22-H59</f>
      </c>
      <c r="I60" s="98">
        <f>I22-I59</f>
      </c>
      <c r="J60" s="98">
        <f>J22-J59</f>
      </c>
      <c r="K60" s="98">
        <f>K22-K59</f>
      </c>
      <c r="L60" s="98">
        <f>L22-L59</f>
      </c>
      <c r="M60" s="98">
        <f>M22-M59</f>
      </c>
      <c r="N60" s="98">
        <f>N22-N59</f>
      </c>
      <c r="O60" s="98">
        <f>SUM(C60:N60)</f>
      </c>
      <c r="P60" s="162">
        <f>O60/$O$16</f>
      </c>
      <c r="Q60" s="135"/>
      <c r="R60" s="182"/>
      <c r="S60" s="1"/>
      <c r="T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>
      <c r="A62" s="1"/>
      <c r="B62" s="179" t="str">
        <v>辅助计算</v>
      </c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58"/>
      <c r="P62" s="1"/>
      <c r="Q62" s="1"/>
      <c r="R62" s="1"/>
      <c r="S62" s="1"/>
      <c r="T62" s="1"/>
    </row>
    <row r="63">
      <c r="A63" s="1"/>
      <c r="B63" s="181" t="str">
        <v>国补后价格(销量加权)</v>
      </c>
      <c r="C63" s="181">
        <v>366.6</v>
      </c>
      <c r="D63" s="181">
        <v>362.6</v>
      </c>
      <c r="E63" s="181">
        <v>362.8</v>
      </c>
      <c r="F63" s="181">
        <v>357</v>
      </c>
      <c r="G63" s="181">
        <v>376.4</v>
      </c>
      <c r="H63" s="181">
        <v>376.1</v>
      </c>
      <c r="I63" s="181">
        <v>401.9</v>
      </c>
      <c r="J63" s="181">
        <v>400.9</v>
      </c>
      <c r="K63" s="181">
        <v>401.8</v>
      </c>
      <c r="L63" s="181">
        <v>398.6</v>
      </c>
      <c r="M63" s="181">
        <v>397.7</v>
      </c>
      <c r="N63" s="181">
        <v>392.4</v>
      </c>
      <c r="O63" s="1"/>
      <c r="P63" s="1"/>
      <c r="Q63" s="1"/>
      <c r="R63" s="1"/>
      <c r="S63" s="1"/>
      <c r="T63" s="1"/>
    </row>
    <row r="64">
      <c r="A64" s="1"/>
      <c r="B64" s="181" t="str">
        <v>成本不含税（销量加权）</v>
      </c>
      <c r="C64" s="181">
        <v>158.8</v>
      </c>
      <c r="D64" s="181">
        <v>156.4</v>
      </c>
      <c r="E64" s="181">
        <v>165.1</v>
      </c>
      <c r="F64" s="181">
        <v>162.9</v>
      </c>
      <c r="G64" s="181">
        <v>153</v>
      </c>
      <c r="H64" s="181">
        <v>155.3</v>
      </c>
      <c r="I64" s="181">
        <v>153.3</v>
      </c>
      <c r="J64" s="181">
        <v>152.5</v>
      </c>
      <c r="K64" s="181">
        <v>150.2</v>
      </c>
      <c r="L64" s="181">
        <v>146.6</v>
      </c>
      <c r="M64" s="181">
        <v>142.9</v>
      </c>
      <c r="N64" s="181">
        <v>139.6</v>
      </c>
      <c r="O64" s="1"/>
      <c r="P64" s="1"/>
      <c r="Q64" s="1"/>
      <c r="R64" s="1"/>
      <c r="S64" s="1"/>
      <c r="T64" s="1"/>
    </row>
    <row r="65">
      <c r="A65" s="1"/>
      <c r="B65" s="179" t="str">
        <v>退后销量</v>
      </c>
      <c r="C65" s="178">
        <f>C8/C63</f>
      </c>
      <c r="D65" s="178">
        <f>D8/D63</f>
      </c>
      <c r="E65" s="178">
        <f>E8/E63</f>
      </c>
      <c r="F65" s="178">
        <f>F8/F63</f>
      </c>
      <c r="G65" s="178">
        <f>G8/G63</f>
      </c>
      <c r="H65" s="178">
        <f>H8/H63</f>
      </c>
      <c r="I65" s="178">
        <f>I8/I63</f>
      </c>
      <c r="J65" s="178">
        <f>J8/J63</f>
      </c>
      <c r="K65" s="178">
        <f>K8/K63</f>
      </c>
      <c r="L65" s="178">
        <f>L8/L63</f>
      </c>
      <c r="M65" s="178">
        <f>M8/M63</f>
      </c>
      <c r="N65" s="178">
        <f>N8/N63</f>
      </c>
      <c r="O65" s="1"/>
      <c r="P65" s="1"/>
      <c r="Q65" s="1"/>
      <c r="R65" s="1"/>
      <c r="S65" s="1"/>
      <c r="T65" s="1"/>
    </row>
    <row r="66">
      <c r="A66" s="1"/>
      <c r="B66" s="19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"/>
      <c r="P66" s="1"/>
      <c r="Q66" s="1"/>
      <c r="R66" s="1"/>
      <c r="S66" s="1"/>
      <c r="T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>
      <c r="A82" s="1"/>
      <c r="B82" s="1"/>
      <c r="C82" s="158">
        <f>C16-C18-C20-C26-C37-C44-C47-C58-C60</f>
      </c>
      <c r="D82" s="158">
        <f>D16-D18-D20-D26-D37-D44-D47-D58-D60</f>
      </c>
      <c r="E82" s="158">
        <f>E16-E18-E20-E26-E37-E44-E47-E58-E60</f>
      </c>
      <c r="F82" s="158">
        <f>F16-F18-F20-F26-F37-F44-F47-F58-F60</f>
      </c>
      <c r="G82" s="158">
        <f>G16-G18-G20-G26-G37-G44-G47-G58-G60</f>
      </c>
      <c r="H82" s="158">
        <f>H16-H18-H20-H26-H37-H44-H47-H58-H60</f>
      </c>
      <c r="I82" s="158">
        <f>I16-I18-I20-I26-I37-I44-I47-I58-I60</f>
      </c>
      <c r="J82" s="158">
        <f>J16-J18-J20-J26-J37-J44-J47-J58-J60</f>
      </c>
      <c r="K82" s="158">
        <f>K16-K18-K20-K26-K37-K44-K47-K58-K60</f>
      </c>
      <c r="L82" s="158">
        <f>L16-L18-L20-L26-L37-L44-L47-L58-L60</f>
      </c>
      <c r="M82" s="158">
        <f>M16-M18-M20-M26-M37-M44-M47-M58-M60</f>
      </c>
      <c r="N82" s="158">
        <f>N16-N18-N20-N26-N37-N44-N47-N58-N60</f>
      </c>
      <c r="O82" s="158">
        <f>O16-O18-O20-O26-O37-O44-O47-O58-O60</f>
      </c>
      <c r="P82" s="1"/>
      <c r="Q82" s="1"/>
      <c r="R82" s="1"/>
      <c r="S82" s="1"/>
      <c r="T82" s="1"/>
    </row>
    <row r="83">
      <c r="A83" s="1"/>
      <c r="B83" s="1"/>
      <c r="C83" s="119">
        <f>C10-C11-C12-C13-C15</f>
      </c>
      <c r="D83" s="119">
        <f>D10-D11-D12-D13-D15</f>
      </c>
      <c r="E83" s="119">
        <f>E10-E11-E12-E13-E15</f>
      </c>
      <c r="F83" s="119">
        <f>F10-F11-F12-F13-F15</f>
      </c>
      <c r="G83" s="119">
        <f>G10-G11-G12-G13-G15</f>
      </c>
      <c r="H83" s="119">
        <f>H10-H11-H12-H13-H15</f>
      </c>
      <c r="I83" s="119">
        <f>I10-I11-I12-I13-I15</f>
      </c>
      <c r="J83" s="119">
        <f>J10-J11-J12-J13-J15</f>
      </c>
      <c r="K83" s="119">
        <f>K10-K11-K12-K13-K15</f>
      </c>
      <c r="L83" s="119">
        <f>L10-L11-L12-L13-L15</f>
      </c>
      <c r="M83" s="119">
        <f>M10-M11-M12-M13-M15</f>
      </c>
      <c r="N83" s="119">
        <f>N10-N11-N12-N13-N15</f>
      </c>
      <c r="O83" s="119">
        <f>O10-O11-O12-O13-O15</f>
      </c>
      <c r="P83" s="1"/>
      <c r="Q83" s="1"/>
      <c r="R83" s="1"/>
      <c r="S83" s="1"/>
      <c r="T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>
      <c r="A93" s="1"/>
      <c r="B93" s="1" t="str">
        <v>分摊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>
      <c r="A94" s="1"/>
      <c r="B94" s="85" t="str">
        <v>品牌及内容费用</v>
      </c>
      <c r="C94" s="127">
        <f>SUM(C95:C99)</f>
      </c>
      <c r="D94" s="127">
        <f>SUM(D95:D99)</f>
      </c>
      <c r="E94" s="127">
        <f>SUM(E95:E99)</f>
      </c>
      <c r="F94" s="127">
        <f>SUM(F95:F99)</f>
      </c>
      <c r="G94" s="127">
        <f>SUM(G95:G99)</f>
      </c>
      <c r="H94" s="127">
        <f>SUM(H95:H99)</f>
      </c>
      <c r="I94" s="127">
        <f>SUM(I95:I99)</f>
      </c>
      <c r="J94" s="127">
        <f>SUM(J95:J99)</f>
      </c>
      <c r="K94" s="127">
        <f>SUM(K95:K99)</f>
      </c>
      <c r="L94" s="127">
        <f>SUM(L95:L99)</f>
      </c>
      <c r="M94" s="127">
        <f>SUM(M95:M99)</f>
      </c>
      <c r="N94" s="127">
        <f>SUM(N95:N99)</f>
      </c>
      <c r="O94" s="1"/>
      <c r="P94" s="1"/>
      <c r="Q94" s="1"/>
      <c r="R94" s="1"/>
      <c r="S94" s="1"/>
      <c r="T94" s="1"/>
    </row>
    <row r="95">
      <c r="A95" s="1"/>
      <c r="B95" s="90" t="str">
        <v>展会</v>
      </c>
      <c r="C95" s="170">
        <f>'线下门店-小计'!C27*(C15/('26年全渠道汇总'!C15-'线下门店-小计'!C15))</f>
      </c>
      <c r="D95" s="170">
        <f>'线下门店-小计'!D27*(D15/('26年全渠道汇总'!D15-'线下门店-小计'!D15))</f>
      </c>
      <c r="E95" s="170">
        <f>'线下门店-小计'!E27*(E15/('26年全渠道汇总'!E15-'线下门店-小计'!E15))</f>
      </c>
      <c r="F95" s="170">
        <f>'线下门店-小计'!F27*(F15/('26年全渠道汇总'!F15-'线下门店-小计'!F15))</f>
      </c>
      <c r="G95" s="170">
        <f>'线下门店-小计'!G27*(G15/('26年全渠道汇总'!G15-'线下门店-小计'!G15))</f>
      </c>
      <c r="H95" s="170">
        <f>'线下门店-小计'!H27*(H15/('26年全渠道汇总'!H15-'线下门店-小计'!H15))</f>
      </c>
      <c r="I95" s="170">
        <f>'线下门店-小计'!I27*(I15/('26年全渠道汇总'!I15-'线下门店-小计'!I15))</f>
      </c>
      <c r="J95" s="170">
        <f>'线下门店-小计'!J27*(J15/('26年全渠道汇总'!J15-'线下门店-小计'!J15))</f>
      </c>
      <c r="K95" s="170">
        <f>'线下门店-小计'!K27*(K15/('26年全渠道汇总'!K15-'线下门店-小计'!K15))</f>
      </c>
      <c r="L95" s="170">
        <f>'线下门店-小计'!L27*(L15/('26年全渠道汇总'!L15-'线下门店-小计'!L15))</f>
      </c>
      <c r="M95" s="170">
        <f>'线下门店-小计'!M27*(M15/('26年全渠道汇总'!M15-'线下门店-小计'!M15))</f>
      </c>
      <c r="N95" s="170">
        <f>'线下门店-小计'!N27*(N15/('26年全渠道汇总'!N15-'线下门店-小计'!N15))</f>
      </c>
      <c r="O95" s="1"/>
      <c r="P95" s="1"/>
      <c r="Q95" s="1"/>
      <c r="R95" s="1"/>
      <c r="S95" s="1"/>
      <c r="T95" s="1"/>
    </row>
    <row r="96">
      <c r="A96" s="1"/>
      <c r="B96" s="90" t="str">
        <v>品牌营销</v>
      </c>
      <c r="C96" s="170">
        <f>'线下门店-小计'!C28*(C15/('26年全渠道汇总'!C15-'线下门店-小计'!C15))</f>
      </c>
      <c r="D96" s="170">
        <f>'线下门店-小计'!D28*(D15/('26年全渠道汇总'!D15-'线下门店-小计'!D15))</f>
      </c>
      <c r="E96" s="170">
        <f>'线下门店-小计'!E28*(E15/('26年全渠道汇总'!E15-'线下门店-小计'!E15))</f>
      </c>
      <c r="F96" s="170">
        <f>'线下门店-小计'!F28*(F15/('26年全渠道汇总'!F15-'线下门店-小计'!F15))</f>
      </c>
      <c r="G96" s="170">
        <f>'线下门店-小计'!G28*(G15/('26年全渠道汇总'!G15-'线下门店-小计'!G15))</f>
      </c>
      <c r="H96" s="170">
        <f>'线下门店-小计'!H28*(H15/('26年全渠道汇总'!H15-'线下门店-小计'!H15))</f>
      </c>
      <c r="I96" s="170">
        <f>'线下门店-小计'!I28*(I15/('26年全渠道汇总'!I15-'线下门店-小计'!I15))</f>
      </c>
      <c r="J96" s="170">
        <f>'线下门店-小计'!J28*(J15/('26年全渠道汇总'!J15-'线下门店-小计'!J15))</f>
      </c>
      <c r="K96" s="170">
        <f>'线下门店-小计'!K28*(K15/('26年全渠道汇总'!K15-'线下门店-小计'!K15))</f>
      </c>
      <c r="L96" s="170">
        <f>'线下门店-小计'!L28*(L15/('26年全渠道汇总'!L15-'线下门店-小计'!L15))</f>
      </c>
      <c r="M96" s="170">
        <f>'线下门店-小计'!M28*(M15/('26年全渠道汇总'!M15-'线下门店-小计'!M15))</f>
      </c>
      <c r="N96" s="170">
        <f>'线下门店-小计'!N28*(N15/('26年全渠道汇总'!N15-'线下门店-小计'!N15))</f>
      </c>
      <c r="O96" s="1"/>
      <c r="P96" s="1"/>
      <c r="Q96" s="1"/>
      <c r="R96" s="1"/>
      <c r="S96" s="1"/>
      <c r="T96" s="1"/>
    </row>
    <row r="97">
      <c r="A97" s="1"/>
      <c r="B97" s="90" t="str">
        <v>内容素材制作</v>
      </c>
      <c r="C97" s="170">
        <f>'线下门店-小计'!C29*(C15/('26年全渠道汇总'!C15-'线下门店-小计'!C15))</f>
      </c>
      <c r="D97" s="170">
        <f>'线下门店-小计'!D29*(D15/('26年全渠道汇总'!D15-'线下门店-小计'!D15))</f>
      </c>
      <c r="E97" s="170">
        <f>'线下门店-小计'!E29*(E15/('26年全渠道汇总'!E15-'线下门店-小计'!E15))</f>
      </c>
      <c r="F97" s="170">
        <f>'线下门店-小计'!F29*(F15/('26年全渠道汇总'!F15-'线下门店-小计'!F15))</f>
      </c>
      <c r="G97" s="170">
        <f>'线下门店-小计'!G29*(G15/('26年全渠道汇总'!G15-'线下门店-小计'!G15))</f>
      </c>
      <c r="H97" s="170">
        <f>'线下门店-小计'!H29*(H15/('26年全渠道汇总'!H15-'线下门店-小计'!H15))</f>
      </c>
      <c r="I97" s="170">
        <f>'线下门店-小计'!I29*(I15/('26年全渠道汇总'!I15-'线下门店-小计'!I15))</f>
      </c>
      <c r="J97" s="170">
        <f>'线下门店-小计'!J29*(J15/('26年全渠道汇总'!J15-'线下门店-小计'!J15))</f>
      </c>
      <c r="K97" s="170">
        <f>'线下门店-小计'!K29*(K15/('26年全渠道汇总'!K15-'线下门店-小计'!K15))</f>
      </c>
      <c r="L97" s="170">
        <f>'线下门店-小计'!L29*(L15/('26年全渠道汇总'!L15-'线下门店-小计'!L15))</f>
      </c>
      <c r="M97" s="170">
        <f>'线下门店-小计'!M29*(M15/('26年全渠道汇总'!M15-'线下门店-小计'!M15))</f>
      </c>
      <c r="N97" s="170">
        <f>'线下门店-小计'!N29*(N15/('26年全渠道汇总'!N15-'线下门店-小计'!N15))</f>
      </c>
      <c r="O97" s="1"/>
      <c r="P97" s="1"/>
      <c r="Q97" s="1"/>
      <c r="R97" s="1"/>
      <c r="S97" s="1"/>
      <c r="T97" s="1"/>
    </row>
    <row r="98">
      <c r="A98" s="1"/>
      <c r="B98" s="90" t="str">
        <v>公关费用</v>
      </c>
      <c r="C98" s="170">
        <f>'线下门店-小计'!C30*(C15/('26年全渠道汇总'!C15-'线下门店-小计'!C15))</f>
      </c>
      <c r="D98" s="170">
        <f>'线下门店-小计'!D30*(D15/('26年全渠道汇总'!D15-'线下门店-小计'!D15))</f>
      </c>
      <c r="E98" s="170">
        <f>'线下门店-小计'!E30*(E15/('26年全渠道汇总'!E15-'线下门店-小计'!E15))</f>
      </c>
      <c r="F98" s="170">
        <f>'线下门店-小计'!F30*(F15/('26年全渠道汇总'!F15-'线下门店-小计'!F15))</f>
      </c>
      <c r="G98" s="170">
        <f>'线下门店-小计'!G30*(G15/('26年全渠道汇总'!G15-'线下门店-小计'!G15))</f>
      </c>
      <c r="H98" s="170">
        <f>'线下门店-小计'!H30*(H15/('26年全渠道汇总'!H15-'线下门店-小计'!H15))</f>
      </c>
      <c r="I98" s="170">
        <f>'线下门店-小计'!I30*(I15/('26年全渠道汇总'!I15-'线下门店-小计'!I15))</f>
      </c>
      <c r="J98" s="170">
        <f>'线下门店-小计'!J30*(J15/('26年全渠道汇总'!J15-'线下门店-小计'!J15))</f>
      </c>
      <c r="K98" s="170">
        <f>'线下门店-小计'!K30*(K15/('26年全渠道汇总'!K15-'线下门店-小计'!K15))</f>
      </c>
      <c r="L98" s="170">
        <f>'线下门店-小计'!L30*(L15/('26年全渠道汇总'!L15-'线下门店-小计'!L15))</f>
      </c>
      <c r="M98" s="170">
        <f>'线下门店-小计'!M30*(M15/('26年全渠道汇总'!M15-'线下门店-小计'!M15))</f>
      </c>
      <c r="N98" s="170">
        <f>'线下门店-小计'!N30*(N15/('26年全渠道汇总'!N15-'线下门店-小计'!N15))</f>
      </c>
      <c r="O98" s="1"/>
      <c r="P98" s="1"/>
      <c r="Q98" s="1"/>
      <c r="R98" s="1"/>
      <c r="S98" s="1"/>
      <c r="T98" s="1"/>
    </row>
    <row r="99">
      <c r="A99" s="1"/>
      <c r="B99" s="90" t="str">
        <v>达人种草、样机及加热</v>
      </c>
      <c r="C99" s="170">
        <f>'线下门店-小计'!C31*(C15/('26年全渠道汇总'!C15-'线下门店-小计'!C15))</f>
      </c>
      <c r="D99" s="170">
        <f>'线下门店-小计'!D31*(D15/('26年全渠道汇总'!D15-'线下门店-小计'!D15))</f>
      </c>
      <c r="E99" s="170">
        <f>'线下门店-小计'!E31*(E15/('26年全渠道汇总'!E15-'线下门店-小计'!E15))</f>
      </c>
      <c r="F99" s="170">
        <f>'线下门店-小计'!F31*(F15/('26年全渠道汇总'!F15-'线下门店-小计'!F15))</f>
      </c>
      <c r="G99" s="170">
        <f>'线下门店-小计'!G31*(G15/('26年全渠道汇总'!G15-'线下门店-小计'!G15))</f>
      </c>
      <c r="H99" s="170">
        <f>'线下门店-小计'!H31*(H15/('26年全渠道汇总'!H15-'线下门店-小计'!H15))</f>
      </c>
      <c r="I99" s="170">
        <f>'线下门店-小计'!I31*(I15/('26年全渠道汇总'!I15-'线下门店-小计'!I15))</f>
      </c>
      <c r="J99" s="170">
        <f>'线下门店-小计'!J31*(J15/('26年全渠道汇总'!J15-'线下门店-小计'!J15))</f>
      </c>
      <c r="K99" s="170">
        <f>'线下门店-小计'!K31*(K15/('26年全渠道汇总'!K15-'线下门店-小计'!K15))</f>
      </c>
      <c r="L99" s="170">
        <f>'线下门店-小计'!L31*(L15/('26年全渠道汇总'!L15-'线下门店-小计'!L15))</f>
      </c>
      <c r="M99" s="170">
        <f>'线下门店-小计'!M31*(M15/('26年全渠道汇总'!M15-'线下门店-小计'!M15))</f>
      </c>
      <c r="N99" s="170">
        <f>'线下门店-小计'!N31*(N15/('26年全渠道汇总'!N15-'线下门店-小计'!N15))</f>
      </c>
      <c r="O99" s="1"/>
      <c r="P99" s="1"/>
      <c r="Q99" s="1"/>
      <c r="R99" s="1"/>
      <c r="S99" s="1"/>
      <c r="T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>
      <c r="A101" s="1"/>
      <c r="B101" s="1" t="str">
        <v>总计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>
      <c r="A102" s="1"/>
      <c r="B102" s="85" t="str">
        <v>品牌及内容费用</v>
      </c>
      <c r="C102" s="127">
        <f>SUM(C103:C107)</f>
      </c>
      <c r="D102" s="127">
        <f>SUM(D103:D107)</f>
      </c>
      <c r="E102" s="127">
        <f>SUM(E103:E107)</f>
      </c>
      <c r="F102" s="127">
        <f>SUM(F103:F107)</f>
      </c>
      <c r="G102" s="127">
        <f>SUM(G103:G107)</f>
      </c>
      <c r="H102" s="127">
        <f>SUM(H103:H107)</f>
      </c>
      <c r="I102" s="127">
        <f>SUM(I103:I107)</f>
      </c>
      <c r="J102" s="127">
        <f>SUM(J103:J107)</f>
      </c>
      <c r="K102" s="127">
        <f>SUM(K103:K107)</f>
      </c>
      <c r="L102" s="127">
        <f>SUM(L103:L107)</f>
      </c>
      <c r="M102" s="127">
        <f>SUM(M103:M107)</f>
      </c>
      <c r="N102" s="127">
        <f>SUM(N103:N107)</f>
      </c>
      <c r="O102" s="1"/>
      <c r="P102" s="1"/>
      <c r="Q102" s="1"/>
      <c r="R102" s="1"/>
      <c r="S102" s="1"/>
      <c r="T102" s="1"/>
    </row>
    <row r="103">
      <c r="A103" s="1"/>
      <c r="B103" s="90" t="str">
        <v>展会</v>
      </c>
      <c r="C103" s="170">
        <f>C95+C27</f>
      </c>
      <c r="D103" s="170">
        <f>D95+D27</f>
      </c>
      <c r="E103" s="170">
        <f>E95+E27</f>
      </c>
      <c r="F103" s="170">
        <f>F95+F27</f>
      </c>
      <c r="G103" s="170">
        <f>G95+G27</f>
      </c>
      <c r="H103" s="170">
        <f>H95+H27</f>
      </c>
      <c r="I103" s="170">
        <f>I95+I27</f>
      </c>
      <c r="J103" s="170">
        <f>J95+J27</f>
      </c>
      <c r="K103" s="170">
        <f>K95+K27</f>
      </c>
      <c r="L103" s="170">
        <f>L95+L27</f>
      </c>
      <c r="M103" s="170">
        <f>M95+M27</f>
      </c>
      <c r="N103" s="170">
        <f>N95+N27</f>
      </c>
      <c r="O103" s="1"/>
      <c r="P103" s="1"/>
      <c r="Q103" s="1"/>
      <c r="R103" s="1"/>
      <c r="S103" s="1"/>
      <c r="T103" s="1"/>
    </row>
    <row r="104">
      <c r="A104" s="1"/>
      <c r="B104" s="90" t="str">
        <v>品牌营销</v>
      </c>
      <c r="C104" s="170">
        <f>C96+C28</f>
      </c>
      <c r="D104" s="170">
        <f>D96+D28</f>
      </c>
      <c r="E104" s="170">
        <f>E96+E28</f>
      </c>
      <c r="F104" s="170">
        <f>F96+F28</f>
      </c>
      <c r="G104" s="170">
        <f>G96+G28</f>
      </c>
      <c r="H104" s="170">
        <f>H96+H28</f>
      </c>
      <c r="I104" s="170">
        <f>I96+I28</f>
      </c>
      <c r="J104" s="170">
        <f>J96+J28</f>
      </c>
      <c r="K104" s="170">
        <f>K96+K28</f>
      </c>
      <c r="L104" s="170">
        <f>L96+L28</f>
      </c>
      <c r="M104" s="170">
        <f>M96+M28</f>
      </c>
      <c r="N104" s="170">
        <f>N96+N28</f>
      </c>
      <c r="O104" s="1"/>
      <c r="P104" s="1"/>
      <c r="Q104" s="1"/>
      <c r="R104" s="1"/>
      <c r="S104" s="1"/>
      <c r="T104" s="1"/>
    </row>
    <row r="105">
      <c r="A105" s="1"/>
      <c r="B105" s="90" t="str">
        <v>内容素材制作</v>
      </c>
      <c r="C105" s="170">
        <f>C97+C29</f>
      </c>
      <c r="D105" s="170">
        <f>D97+D29</f>
      </c>
      <c r="E105" s="170">
        <f>E97+E29</f>
      </c>
      <c r="F105" s="170">
        <f>F97+F29</f>
      </c>
      <c r="G105" s="170">
        <f>G97+G29</f>
      </c>
      <c r="H105" s="170">
        <f>H97+H29</f>
      </c>
      <c r="I105" s="170">
        <f>I97+I29</f>
      </c>
      <c r="J105" s="170">
        <f>J97+J29</f>
      </c>
      <c r="K105" s="170">
        <f>K97+K29</f>
      </c>
      <c r="L105" s="170">
        <f>L97+L29</f>
      </c>
      <c r="M105" s="170">
        <f>M97+M29</f>
      </c>
      <c r="N105" s="170">
        <f>N97+N29</f>
      </c>
      <c r="O105" s="1"/>
      <c r="P105" s="1"/>
      <c r="Q105" s="1"/>
      <c r="R105" s="1"/>
      <c r="S105" s="1"/>
      <c r="T105" s="1"/>
    </row>
    <row r="106">
      <c r="A106" s="1"/>
      <c r="B106" s="90" t="str">
        <v>公关费用</v>
      </c>
      <c r="C106" s="170">
        <f>C98+C30</f>
      </c>
      <c r="D106" s="170">
        <f>D98+D30</f>
      </c>
      <c r="E106" s="170">
        <f>E98+E30</f>
      </c>
      <c r="F106" s="170">
        <f>F98+F30</f>
      </c>
      <c r="G106" s="170">
        <f>G98+G30</f>
      </c>
      <c r="H106" s="170">
        <f>H98+H30</f>
      </c>
      <c r="I106" s="170">
        <f>I98+I30</f>
      </c>
      <c r="J106" s="170">
        <f>J98+J30</f>
      </c>
      <c r="K106" s="170">
        <f>K98+K30</f>
      </c>
      <c r="L106" s="170">
        <f>L98+L30</f>
      </c>
      <c r="M106" s="170">
        <f>M98+M30</f>
      </c>
      <c r="N106" s="170">
        <f>N98+N30</f>
      </c>
      <c r="O106" s="1"/>
      <c r="P106" s="1"/>
      <c r="Q106" s="1"/>
      <c r="R106" s="1"/>
      <c r="S106" s="1"/>
      <c r="T106" s="1"/>
    </row>
    <row r="107">
      <c r="A107" s="1"/>
      <c r="B107" s="90" t="str">
        <v>达人种草、样机及加热</v>
      </c>
      <c r="C107" s="170">
        <f>C99+C31</f>
      </c>
      <c r="D107" s="170">
        <f>D99+D31</f>
      </c>
      <c r="E107" s="170">
        <f>E99+E31</f>
      </c>
      <c r="F107" s="170">
        <f>F99+F31</f>
      </c>
      <c r="G107" s="170">
        <f>G99+G31</f>
      </c>
      <c r="H107" s="170">
        <f>H99+H31</f>
      </c>
      <c r="I107" s="170">
        <f>I99+I31</f>
      </c>
      <c r="J107" s="170">
        <f>J99+J31</f>
      </c>
      <c r="K107" s="170">
        <f>K99+K31</f>
      </c>
      <c r="L107" s="170">
        <f>L99+L31</f>
      </c>
      <c r="M107" s="170">
        <f>M99+M31</f>
      </c>
      <c r="N107" s="170">
        <f>N99+N31</f>
      </c>
      <c r="O107" s="1"/>
      <c r="P107" s="1"/>
      <c r="Q107" s="1"/>
      <c r="R107" s="1"/>
      <c r="S107" s="1"/>
      <c r="T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</sheetData>
  <picture r:id="rId1"/>
</worksheet>
</file>

<file path=xl/worksheets/sheet16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A1" s="1"/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  <c r="R1" s="1"/>
      <c r="S1" s="1"/>
      <c r="T1" s="1"/>
    </row>
    <row r="2">
      <c r="A2" s="1"/>
      <c r="B2" s="90" t="str">
        <v>退后销量</v>
      </c>
      <c r="C2" s="118">
        <v>69.80276974874397</v>
      </c>
      <c r="D2" s="118">
        <v>63.66626251808516</v>
      </c>
      <c r="E2" s="118">
        <v>74.40515017173809</v>
      </c>
      <c r="F2" s="118">
        <v>61.74860400850429</v>
      </c>
      <c r="G2" s="118">
        <v>107.77240823844537</v>
      </c>
      <c r="H2" s="118">
        <v>93.19820356563069</v>
      </c>
      <c r="I2" s="118">
        <v>60.59800890275576</v>
      </c>
      <c r="J2" s="118">
        <v>76.1693960005525</v>
      </c>
      <c r="K2" s="118">
        <v>83.99344271964247</v>
      </c>
      <c r="L2" s="118">
        <v>111.30089989607418</v>
      </c>
      <c r="M2" s="118">
        <v>86.52475195228924</v>
      </c>
      <c r="N2" s="118">
        <v>77.31999110630102</v>
      </c>
      <c r="O2" s="118">
        <f>SUM(C2:N2)</f>
      </c>
      <c r="P2" s="118"/>
      <c r="Q2" s="1"/>
      <c r="R2" s="1"/>
      <c r="S2" s="1"/>
      <c r="T2" s="1"/>
    </row>
    <row r="3">
      <c r="A3" s="135"/>
      <c r="B3" s="94" t="str">
        <v>自补前GMV</v>
      </c>
      <c r="C3" s="94">
        <v>46466.67910007717</v>
      </c>
      <c r="D3" s="94">
        <v>52275.01398758681</v>
      </c>
      <c r="E3" s="94">
        <v>34850.00932505788</v>
      </c>
      <c r="F3" s="94">
        <v>29041.674437548234</v>
      </c>
      <c r="G3" s="94">
        <v>63891.68376260611</v>
      </c>
      <c r="H3" s="94">
        <v>58083.34887509647</v>
      </c>
      <c r="I3" s="94">
        <v>34850.00932505788</v>
      </c>
      <c r="J3" s="94">
        <v>52275.01398758681</v>
      </c>
      <c r="K3" s="94">
        <v>34850.00932505788</v>
      </c>
      <c r="L3" s="94">
        <v>63891.68376260611</v>
      </c>
      <c r="M3" s="94">
        <v>58083.34887509647</v>
      </c>
      <c r="N3" s="94">
        <v>52275.01398758681</v>
      </c>
      <c r="O3" s="94">
        <f>SUM(C3:N3)</f>
      </c>
      <c r="P3" s="94"/>
      <c r="Q3" s="146" t="str">
        <v>渠道填写</v>
      </c>
      <c r="R3" s="1"/>
      <c r="S3" s="1"/>
      <c r="T3" s="1"/>
    </row>
    <row r="4">
      <c r="A4" s="135"/>
      <c r="B4" s="94" t="str">
        <v>自补前GSV</v>
      </c>
      <c r="C4" s="94">
        <v>32526.675370054018</v>
      </c>
      <c r="D4" s="94">
        <v>36592.50979131076</v>
      </c>
      <c r="E4" s="94">
        <v>24395.006527540514</v>
      </c>
      <c r="F4" s="94">
        <v>20329.17210628376</v>
      </c>
      <c r="G4" s="94">
        <v>44724.178633824275</v>
      </c>
      <c r="H4" s="94">
        <v>40658.34421256752</v>
      </c>
      <c r="I4" s="94">
        <v>24395.006527540514</v>
      </c>
      <c r="J4" s="94">
        <v>36592.50979131076</v>
      </c>
      <c r="K4" s="94">
        <v>24395.006527540514</v>
      </c>
      <c r="L4" s="94">
        <v>44724.178633824275</v>
      </c>
      <c r="M4" s="94">
        <v>40658.34421256752</v>
      </c>
      <c r="N4" s="94">
        <v>36592.50979131076</v>
      </c>
      <c r="O4" s="94">
        <f>SUM(C4:N4)</f>
      </c>
      <c r="P4" s="94"/>
      <c r="Q4" s="146" t="str">
        <v>渠道填写</v>
      </c>
      <c r="R4" s="1"/>
      <c r="S4" s="1"/>
      <c r="T4" s="1"/>
    </row>
    <row r="5">
      <c r="A5" s="135"/>
      <c r="B5" s="94" t="str">
        <v>国补自补费用</v>
      </c>
      <c r="C5" s="94">
        <f>C12</f>
      </c>
      <c r="D5" s="94">
        <f>D12</f>
      </c>
      <c r="E5" s="94">
        <f>E12</f>
      </c>
      <c r="F5" s="94">
        <f>F12</f>
      </c>
      <c r="G5" s="94">
        <f>G12</f>
      </c>
      <c r="H5" s="94">
        <f>H12</f>
      </c>
      <c r="I5" s="94">
        <f>I12</f>
      </c>
      <c r="J5" s="94">
        <f>J12</f>
      </c>
      <c r="K5" s="94">
        <f>K12</f>
      </c>
      <c r="L5" s="94">
        <f>L12</f>
      </c>
      <c r="M5" s="94">
        <f>M12</f>
      </c>
      <c r="N5" s="94">
        <f>N12</f>
      </c>
      <c r="O5" s="94">
        <f>SUM(C5:N5)</f>
      </c>
      <c r="P5" s="94"/>
      <c r="Q5" s="126" t="str">
        <v>渠道填写</v>
      </c>
      <c r="R5" s="1"/>
      <c r="S5" s="1"/>
      <c r="T5" s="1"/>
    </row>
    <row r="6">
      <c r="A6" s="135"/>
      <c r="B6" s="98" t="str">
        <v>GMV（国补后）</v>
      </c>
      <c r="C6" s="98">
        <v>39496.677235065596</v>
      </c>
      <c r="D6" s="98">
        <v>44433.76188944879</v>
      </c>
      <c r="E6" s="98">
        <v>29622.5079262992</v>
      </c>
      <c r="F6" s="98">
        <v>24685.423271916</v>
      </c>
      <c r="G6" s="98">
        <v>54307.93119821519</v>
      </c>
      <c r="H6" s="98">
        <v>49370.846543832</v>
      </c>
      <c r="I6" s="98">
        <v>29622.5079262992</v>
      </c>
      <c r="J6" s="98">
        <v>44433.76188944879</v>
      </c>
      <c r="K6" s="98">
        <v>29622.5079262992</v>
      </c>
      <c r="L6" s="98">
        <v>54307.93119821519</v>
      </c>
      <c r="M6" s="98">
        <v>49370.846543832</v>
      </c>
      <c r="N6" s="98">
        <v>44433.76188944879</v>
      </c>
      <c r="O6" s="98">
        <f>SUM(C6:N6)</f>
      </c>
      <c r="P6" s="98"/>
      <c r="Q6" s="126" t="str">
        <v>渠道填写</v>
      </c>
      <c r="R6" s="1"/>
      <c r="S6" s="1"/>
      <c r="T6" s="1"/>
    </row>
    <row r="7">
      <c r="A7" s="135"/>
      <c r="B7" s="102" t="str">
        <v>退货率（发货前+后）</v>
      </c>
      <c r="C7" s="102">
        <f>1-C8/C6</f>
      </c>
      <c r="D7" s="102">
        <f>1-D8/D6</f>
      </c>
      <c r="E7" s="102">
        <f>1-E8/E6</f>
      </c>
      <c r="F7" s="102">
        <f>1-F8/F6</f>
      </c>
      <c r="G7" s="102">
        <f>1-G8/G6</f>
      </c>
      <c r="H7" s="102">
        <f>1-H8/H6</f>
      </c>
      <c r="I7" s="102">
        <f>1-I8/I6</f>
      </c>
      <c r="J7" s="102">
        <f>1-J8/J6</f>
      </c>
      <c r="K7" s="102">
        <f>1-K8/K6</f>
      </c>
      <c r="L7" s="102">
        <f>1-L8/L6</f>
      </c>
      <c r="M7" s="102">
        <f>1-M8/M6</f>
      </c>
      <c r="N7" s="102">
        <f>1-N8/N6</f>
      </c>
      <c r="O7" s="102">
        <f>1-O8/O6</f>
      </c>
      <c r="P7" s="102"/>
      <c r="Q7" s="1" t="str">
        <v>渠道填写</v>
      </c>
      <c r="R7" s="1"/>
      <c r="S7" s="1"/>
      <c r="T7" s="1"/>
    </row>
    <row r="8">
      <c r="A8" s="135"/>
      <c r="B8" s="98" t="str">
        <v>GSV（国补后）</v>
      </c>
      <c r="C8" s="98">
        <v>27647.674064545914</v>
      </c>
      <c r="D8" s="98">
        <v>31103.633322614147</v>
      </c>
      <c r="E8" s="98">
        <v>20735.755548409434</v>
      </c>
      <c r="F8" s="98">
        <v>17279.796290341197</v>
      </c>
      <c r="G8" s="98">
        <v>38015.55183875063</v>
      </c>
      <c r="H8" s="98">
        <v>34559.592580682394</v>
      </c>
      <c r="I8" s="98">
        <v>20735.755548409434</v>
      </c>
      <c r="J8" s="98">
        <v>31103.633322614147</v>
      </c>
      <c r="K8" s="98">
        <v>20735.755548409434</v>
      </c>
      <c r="L8" s="98">
        <v>38015.55183875063</v>
      </c>
      <c r="M8" s="98">
        <v>34559.592580682394</v>
      </c>
      <c r="N8" s="98">
        <v>31103.633322614147</v>
      </c>
      <c r="O8" s="98">
        <f>SUM(C8:N8)</f>
      </c>
      <c r="P8" s="98"/>
      <c r="Q8" s="1" t="str">
        <v>渠道填写</v>
      </c>
      <c r="R8" s="1"/>
      <c r="S8" s="1"/>
      <c r="T8" s="1"/>
    </row>
    <row r="9">
      <c r="A9" s="1"/>
      <c r="B9" s="90"/>
      <c r="C9" s="88">
        <f>C10-C14-C15</f>
      </c>
      <c r="D9" s="88">
        <f>D10-D14-D15</f>
      </c>
      <c r="E9" s="88">
        <f>E10-E14-E15</f>
      </c>
      <c r="F9" s="88">
        <f>F10-F14-F15</f>
      </c>
      <c r="G9" s="88">
        <f>G10-G14-G15</f>
      </c>
      <c r="H9" s="88">
        <f>H10-H14-H15</f>
      </c>
      <c r="I9" s="88">
        <f>I10-I14-I15</f>
      </c>
      <c r="J9" s="88">
        <f>J10-J14-J15</f>
      </c>
      <c r="K9" s="88">
        <f>K10-K14-K15</f>
      </c>
      <c r="L9" s="88">
        <f>L10-L14-L15</f>
      </c>
      <c r="M9" s="88">
        <f>M10-M14-M15</f>
      </c>
      <c r="N9" s="88">
        <f>N10-N14-N15</f>
      </c>
      <c r="O9" s="88">
        <f>O10-O14-O15</f>
      </c>
      <c r="P9" s="118"/>
      <c r="Q9" s="1"/>
      <c r="R9" s="1"/>
      <c r="S9" s="1"/>
      <c r="T9" s="1"/>
    </row>
    <row r="10">
      <c r="A10" s="135"/>
      <c r="B10" s="98" t="str">
        <v>零售价（去除退货后的）</v>
      </c>
      <c r="C10" s="98">
        <f>C13+C4</f>
      </c>
      <c r="D10" s="98">
        <f>D13+D4</f>
      </c>
      <c r="E10" s="98">
        <f>E13+E4</f>
      </c>
      <c r="F10" s="98">
        <f>F13+F4</f>
      </c>
      <c r="G10" s="98">
        <f>G13+G4</f>
      </c>
      <c r="H10" s="98">
        <f>H13+H4</f>
      </c>
      <c r="I10" s="98">
        <f>I13+I4</f>
      </c>
      <c r="J10" s="98">
        <f>J13+J4</f>
      </c>
      <c r="K10" s="98">
        <f>K13+K4</f>
      </c>
      <c r="L10" s="98">
        <f>L13+L4</f>
      </c>
      <c r="M10" s="98">
        <f>M13+M4</f>
      </c>
      <c r="N10" s="98">
        <f>N13+N4</f>
      </c>
      <c r="O10" s="98">
        <f>SUM(C10:N10)</f>
      </c>
      <c r="P10" s="98"/>
      <c r="Q10" s="1"/>
      <c r="R10" s="1"/>
      <c r="S10" s="1"/>
      <c r="T10" s="1"/>
    </row>
    <row r="11">
      <c r="A11" s="1"/>
      <c r="B11" s="85" t="str">
        <v>合同折扣及返利 (线下）</v>
      </c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>
        <f>SUM(C11:N11)</f>
      </c>
      <c r="P11" s="127"/>
      <c r="Q11" s="1" t="str">
        <v>线下渠道填写</v>
      </c>
      <c r="R11" s="1"/>
      <c r="S11" s="1"/>
      <c r="T11" s="1"/>
    </row>
    <row r="12">
      <c r="A12" s="1"/>
      <c r="B12" s="85" t="str">
        <v>国补自补 （线上）</v>
      </c>
      <c r="C12" s="127">
        <f>C4*$P$12</f>
      </c>
      <c r="D12" s="127">
        <f>D4*$P$12</f>
      </c>
      <c r="E12" s="127">
        <f>E4*$P$12</f>
      </c>
      <c r="F12" s="127">
        <f>F4*$P$12</f>
      </c>
      <c r="G12" s="127">
        <f>G4*$P$12</f>
      </c>
      <c r="H12" s="127">
        <f>H4*$P$12</f>
      </c>
      <c r="I12" s="127">
        <f>I4*$P$12</f>
      </c>
      <c r="J12" s="127">
        <f>J4*$P$12</f>
      </c>
      <c r="K12" s="127">
        <f>K4*$P$12</f>
      </c>
      <c r="L12" s="127">
        <f>L4*$P$12</f>
      </c>
      <c r="M12" s="127">
        <f>M4*$P$12</f>
      </c>
      <c r="N12" s="127">
        <f>N4*$P$12</f>
      </c>
      <c r="O12" s="127">
        <f>SUM(C12:N12)</f>
      </c>
      <c r="P12" s="173">
        <v>0.15</v>
      </c>
      <c r="Q12" s="1" t="str">
        <v>渠道填写</v>
      </c>
      <c r="R12" s="54">
        <f>O12/$O$10</f>
      </c>
      <c r="S12" s="1"/>
      <c r="T12" s="1"/>
    </row>
    <row r="13">
      <c r="A13" s="1"/>
      <c r="B13" s="85" t="str">
        <v>红包消费券等促销折扣</v>
      </c>
      <c r="C13" s="127">
        <f>C16*$P$13</f>
      </c>
      <c r="D13" s="127">
        <f>D16*$P$13</f>
      </c>
      <c r="E13" s="127">
        <f>E16*$P$13</f>
      </c>
      <c r="F13" s="127">
        <f>F16*$P$13</f>
      </c>
      <c r="G13" s="127">
        <f>G16*$P$13</f>
      </c>
      <c r="H13" s="127">
        <f>H16*$P$13</f>
      </c>
      <c r="I13" s="127">
        <f>I16*$P$13</f>
      </c>
      <c r="J13" s="127">
        <f>J16*$P$13</f>
      </c>
      <c r="K13" s="127">
        <f>K16*$P$13</f>
      </c>
      <c r="L13" s="127">
        <f>L16*$P$13</f>
      </c>
      <c r="M13" s="127">
        <f>M16*$P$13</f>
      </c>
      <c r="N13" s="127">
        <f>N16*$P$13</f>
      </c>
      <c r="O13" s="127">
        <f>SUM(C13:N13)</f>
      </c>
      <c r="P13" s="128">
        <v>0.018</v>
      </c>
      <c r="Q13" s="1" t="str">
        <v>渠道填写</v>
      </c>
      <c r="R13" s="54">
        <f>O13/$O$10</f>
      </c>
      <c r="S13" s="1"/>
      <c r="T13" s="1"/>
    </row>
    <row r="14">
      <c r="A14" s="1"/>
      <c r="B14" s="83" t="str">
        <v>TTL 折扣合计</v>
      </c>
      <c r="C14" s="115">
        <f>SUM(C11:C13)</f>
      </c>
      <c r="D14" s="115">
        <f>SUM(D11:D13)</f>
      </c>
      <c r="E14" s="115">
        <f>SUM(E11:E13)</f>
      </c>
      <c r="F14" s="115">
        <f>SUM(F11:F13)</f>
      </c>
      <c r="G14" s="115">
        <f>SUM(G11:G13)</f>
      </c>
      <c r="H14" s="115">
        <f>SUM(H11:H13)</f>
      </c>
      <c r="I14" s="115">
        <f>SUM(I11:I13)</f>
      </c>
      <c r="J14" s="115">
        <f>SUM(J11:J13)</f>
      </c>
      <c r="K14" s="115">
        <f>SUM(K11:K13)</f>
      </c>
      <c r="L14" s="115">
        <f>SUM(L11:L13)</f>
      </c>
      <c r="M14" s="115">
        <f>SUM(M11:M13)</f>
      </c>
      <c r="N14" s="115">
        <f>SUM(N11:N13)</f>
      </c>
      <c r="O14" s="115">
        <f>SUM(C14:N14)</f>
      </c>
      <c r="P14" s="115"/>
      <c r="Q14" s="1"/>
      <c r="R14" s="1"/>
      <c r="S14" s="1"/>
      <c r="T14" s="1"/>
    </row>
    <row r="15">
      <c r="A15" s="135"/>
      <c r="B15" s="98" t="str">
        <v>GSV</v>
      </c>
      <c r="C15" s="98">
        <f>C8</f>
      </c>
      <c r="D15" s="98">
        <f>D8</f>
      </c>
      <c r="E15" s="98">
        <f>E8</f>
      </c>
      <c r="F15" s="98">
        <f>F8</f>
      </c>
      <c r="G15" s="98">
        <f>G8</f>
      </c>
      <c r="H15" s="98">
        <f>H8</f>
      </c>
      <c r="I15" s="98">
        <f>I8</f>
      </c>
      <c r="J15" s="98">
        <f>J8</f>
      </c>
      <c r="K15" s="98">
        <f>K8</f>
      </c>
      <c r="L15" s="98">
        <f>L8</f>
      </c>
      <c r="M15" s="98">
        <f>M8</f>
      </c>
      <c r="N15" s="98">
        <f>N8</f>
      </c>
      <c r="O15" s="98">
        <f>SUM(C15:N15)</f>
      </c>
      <c r="P15" s="98"/>
      <c r="Q15" s="1"/>
      <c r="R15" s="1"/>
      <c r="S15" s="1"/>
      <c r="T15" s="1"/>
    </row>
    <row r="16">
      <c r="A16" s="135"/>
      <c r="B16" s="98" t="str">
        <v>营业收入</v>
      </c>
      <c r="C16" s="98">
        <f>+C8/1.13</f>
      </c>
      <c r="D16" s="98">
        <f>+D8/1.13</f>
      </c>
      <c r="E16" s="98">
        <f>+E8/1.13</f>
      </c>
      <c r="F16" s="98">
        <f>+F8/1.13</f>
      </c>
      <c r="G16" s="98">
        <f>+G8/1.13</f>
      </c>
      <c r="H16" s="98">
        <f>+H8/1.13</f>
      </c>
      <c r="I16" s="98">
        <f>+I8/1.13</f>
      </c>
      <c r="J16" s="98">
        <f>+J8/1.13</f>
      </c>
      <c r="K16" s="98">
        <f>+K8/1.13</f>
      </c>
      <c r="L16" s="98">
        <f>+L8/1.13</f>
      </c>
      <c r="M16" s="98">
        <f>+M8/1.13</f>
      </c>
      <c r="N16" s="98">
        <f>+N8/1.13</f>
      </c>
      <c r="O16" s="98">
        <f>SUM(C16:N16)</f>
      </c>
      <c r="P16" s="98"/>
      <c r="Q16" s="1"/>
      <c r="R16" s="1"/>
      <c r="S16" s="1"/>
      <c r="T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>
      <c r="A18" s="1"/>
      <c r="B18" s="85" t="str">
        <v>标准主品配件成本</v>
      </c>
      <c r="C18" s="127">
        <f>C64*C65</f>
      </c>
      <c r="D18" s="127">
        <f>D64*D65</f>
      </c>
      <c r="E18" s="127">
        <f>E64*E65</f>
      </c>
      <c r="F18" s="127">
        <f>F64*F65</f>
      </c>
      <c r="G18" s="127">
        <f>G64*G65</f>
      </c>
      <c r="H18" s="127">
        <f>H64*H65</f>
      </c>
      <c r="I18" s="127">
        <f>I64*I65</f>
      </c>
      <c r="J18" s="127">
        <f>J64*J65</f>
      </c>
      <c r="K18" s="127">
        <f>K64*K65</f>
      </c>
      <c r="L18" s="127">
        <f>L64*L65</f>
      </c>
      <c r="M18" s="127">
        <f>M64*M65</f>
      </c>
      <c r="N18" s="127">
        <f>N64*N65</f>
      </c>
      <c r="O18" s="127">
        <f>SUM(C18:N18)</f>
      </c>
      <c r="P18" s="128">
        <v>0.3976</v>
      </c>
      <c r="Q18" s="1"/>
      <c r="R18" s="1"/>
      <c r="S18" s="1"/>
      <c r="T18" s="1"/>
    </row>
    <row r="19">
      <c r="A19" s="1"/>
      <c r="B19" s="83" t="str">
        <v>产品毛利</v>
      </c>
      <c r="C19" s="115">
        <f>C16-C18</f>
      </c>
      <c r="D19" s="115">
        <f>D16-D18</f>
      </c>
      <c r="E19" s="115">
        <f>E16-E18</f>
      </c>
      <c r="F19" s="115">
        <f>F16-F18</f>
      </c>
      <c r="G19" s="115">
        <f>G16-G18</f>
      </c>
      <c r="H19" s="115">
        <f>H16-H18</f>
      </c>
      <c r="I19" s="115">
        <f>I16-I18</f>
      </c>
      <c r="J19" s="115">
        <f>J16-J18</f>
      </c>
      <c r="K19" s="115">
        <f>K16-K18</f>
      </c>
      <c r="L19" s="115">
        <f>L16-L18</f>
      </c>
      <c r="M19" s="115">
        <f>M16-M18</f>
      </c>
      <c r="N19" s="115">
        <f>N16-N18</f>
      </c>
      <c r="O19" s="115">
        <f>SUM(C19:N19)</f>
      </c>
      <c r="P19" s="116">
        <f>O19/$O$16</f>
      </c>
      <c r="Q19" s="1"/>
      <c r="R19" s="1"/>
      <c r="S19" s="1"/>
      <c r="T19" s="1"/>
    </row>
    <row r="20">
      <c r="A20" s="118"/>
      <c r="B20" s="90" t="str">
        <v>头程/尾程物流/仓储费用</v>
      </c>
      <c r="C20" s="118">
        <f>C16*1.7%</f>
      </c>
      <c r="D20" s="118">
        <f>D16*1.7%</f>
      </c>
      <c r="E20" s="118">
        <f>E16*1.7%</f>
      </c>
      <c r="F20" s="118">
        <f>F16*1.7%</f>
      </c>
      <c r="G20" s="118">
        <f>G16*1.7%</f>
      </c>
      <c r="H20" s="118">
        <f>H16*1.7%</f>
      </c>
      <c r="I20" s="118">
        <f>I16*1.7%</f>
      </c>
      <c r="J20" s="118">
        <f>J16*1.7%</f>
      </c>
      <c r="K20" s="118">
        <f>K16*1.7%</f>
      </c>
      <c r="L20" s="118">
        <f>L16*1.7%</f>
      </c>
      <c r="M20" s="118">
        <f>M16*1.7%</f>
      </c>
      <c r="N20" s="118">
        <f>N16*1.7%</f>
      </c>
      <c r="O20" s="118">
        <f>SUM(C20:N20)</f>
      </c>
      <c r="P20" s="120">
        <v>0.0165</v>
      </c>
      <c r="Q20" s="1"/>
      <c r="R20" s="1"/>
      <c r="S20" s="1"/>
      <c r="T20" s="1"/>
    </row>
    <row r="21">
      <c r="A21" s="1"/>
      <c r="B21" s="83" t="str">
        <v>成本合计（产品+物流）</v>
      </c>
      <c r="C21" s="115">
        <f>SUM(C18,C20)</f>
      </c>
      <c r="D21" s="115">
        <f>SUM(D18,D20)</f>
      </c>
      <c r="E21" s="115">
        <f>SUM(E18,E20)</f>
      </c>
      <c r="F21" s="115">
        <f>SUM(F18,F20)</f>
      </c>
      <c r="G21" s="115">
        <f>SUM(G18,G20)</f>
      </c>
      <c r="H21" s="115">
        <f>SUM(H18,H20)</f>
      </c>
      <c r="I21" s="115">
        <f>SUM(I18,I20)</f>
      </c>
      <c r="J21" s="115">
        <f>SUM(J18,J20)</f>
      </c>
      <c r="K21" s="115">
        <f>SUM(K18,K20)</f>
      </c>
      <c r="L21" s="115">
        <f>SUM(L18,L20)</f>
      </c>
      <c r="M21" s="115">
        <f>SUM(M18,M20)</f>
      </c>
      <c r="N21" s="115">
        <f>SUM(N18,N20)</f>
      </c>
      <c r="O21" s="115">
        <f>SUM(C21:N21)</f>
      </c>
      <c r="P21" s="116">
        <f>O21/$O$16</f>
      </c>
      <c r="Q21" s="1"/>
      <c r="R21" s="1"/>
      <c r="S21" s="1"/>
      <c r="T21" s="1"/>
    </row>
    <row r="22">
      <c r="A22" s="135"/>
      <c r="B22" s="98" t="str">
        <v>净毛利</v>
      </c>
      <c r="C22" s="98">
        <f>C16-C21</f>
      </c>
      <c r="D22" s="98">
        <f>D16-D21</f>
      </c>
      <c r="E22" s="98">
        <f>E16-E21</f>
      </c>
      <c r="F22" s="98">
        <f>F16-F21</f>
      </c>
      <c r="G22" s="98">
        <f>G16-G21</f>
      </c>
      <c r="H22" s="98">
        <f>H16-H21</f>
      </c>
      <c r="I22" s="98">
        <f>I16-I21</f>
      </c>
      <c r="J22" s="98">
        <f>J16-J21</f>
      </c>
      <c r="K22" s="98">
        <f>K16-K21</f>
      </c>
      <c r="L22" s="98">
        <f>L16-L21</f>
      </c>
      <c r="M22" s="98">
        <f>M16-M21</f>
      </c>
      <c r="N22" s="98">
        <f>N16-N21</f>
      </c>
      <c r="O22" s="98">
        <f>SUM(C22:N22)</f>
      </c>
      <c r="P22" s="162">
        <f>O22/$O$16</f>
      </c>
      <c r="Q22" s="1"/>
      <c r="R22" s="1"/>
      <c r="S22" s="1"/>
      <c r="T22" s="1"/>
    </row>
    <row r="23">
      <c r="A23" s="1"/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120"/>
      <c r="Q23" s="1"/>
      <c r="R23" s="1"/>
      <c r="S23" s="1"/>
      <c r="T23" s="1"/>
    </row>
    <row r="24">
      <c r="A24" s="1"/>
      <c r="B24" s="102" t="str">
        <v>合计毛利率</v>
      </c>
      <c r="C24" s="165">
        <f>IFERROR(1-C21/C16,0)</f>
      </c>
      <c r="D24" s="165">
        <f>IFERROR(1-D21/D16,0)</f>
      </c>
      <c r="E24" s="165">
        <f>IFERROR(1-E21/E16,0)</f>
      </c>
      <c r="F24" s="165">
        <f>IFERROR(1-F21/F16,0)</f>
      </c>
      <c r="G24" s="165">
        <f>IFERROR(1-G21/G16,0)</f>
      </c>
      <c r="H24" s="165">
        <f>IFERROR(1-H21/H16,0)</f>
      </c>
      <c r="I24" s="165">
        <f>IFERROR(1-I21/I16,0)</f>
      </c>
      <c r="J24" s="165">
        <f>IFERROR(1-J21/J16,0)</f>
      </c>
      <c r="K24" s="165">
        <f>IFERROR(1-K21/K16,0)</f>
      </c>
      <c r="L24" s="165">
        <f>IFERROR(1-L21/L16,0)</f>
      </c>
      <c r="M24" s="165">
        <f>IFERROR(1-M21/M16,0)</f>
      </c>
      <c r="N24" s="165">
        <f>IFERROR(1-N21/N16,0)</f>
      </c>
      <c r="O24" s="165">
        <f>IFERROR(1-O21/O16,0)</f>
      </c>
      <c r="P24" s="120"/>
      <c r="Q24" s="1"/>
      <c r="R24" s="1"/>
      <c r="S24" s="1"/>
      <c r="T24" s="1"/>
    </row>
    <row r="25">
      <c r="A25" s="1"/>
      <c r="B25" s="1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20"/>
      <c r="Q25" s="1"/>
      <c r="R25" s="1"/>
      <c r="S25" s="1"/>
      <c r="T25" s="1"/>
    </row>
    <row r="26">
      <c r="A26" s="1"/>
      <c r="B26" s="85" t="str">
        <v>品牌及内容费用</v>
      </c>
      <c r="C26" s="127">
        <f>SUM(C27:C31)</f>
      </c>
      <c r="D26" s="127">
        <f>SUM(D27:D31)</f>
      </c>
      <c r="E26" s="127">
        <f>SUM(E27:E31)</f>
      </c>
      <c r="F26" s="127">
        <f>SUM(F27:F31)</f>
      </c>
      <c r="G26" s="127">
        <f>SUM(G27:G31)</f>
      </c>
      <c r="H26" s="127">
        <f>SUM(H27:H31)</f>
      </c>
      <c r="I26" s="127">
        <f>SUM(I27:I31)</f>
      </c>
      <c r="J26" s="127">
        <f>SUM(J27:J31)</f>
      </c>
      <c r="K26" s="127">
        <f>SUM(K27:K31)</f>
      </c>
      <c r="L26" s="127">
        <f>SUM(L27:L31)</f>
      </c>
      <c r="M26" s="127">
        <f>SUM(M27:M31)</f>
      </c>
      <c r="N26" s="127">
        <f>SUM(N27:N31)</f>
      </c>
      <c r="O26" s="127">
        <f>SUM(C26:N26)</f>
      </c>
      <c r="P26" s="128">
        <f>O26/$O$16</f>
      </c>
      <c r="Q26" s="1"/>
      <c r="R26" s="1"/>
      <c r="S26" s="1"/>
      <c r="T26" s="1"/>
    </row>
    <row r="27">
      <c r="A27" s="118"/>
      <c r="B27" s="90" t="str">
        <v>展会</v>
      </c>
      <c r="C27" s="170">
        <v>0</v>
      </c>
      <c r="D27" s="170">
        <v>0</v>
      </c>
      <c r="E27" s="170">
        <v>51.26348086613952</v>
      </c>
      <c r="F27" s="170">
        <v>42.79353872515069</v>
      </c>
      <c r="G27" s="170">
        <v>91.4001475265985</v>
      </c>
      <c r="H27" s="170">
        <v>80.49992270415385</v>
      </c>
      <c r="I27" s="170">
        <v>51.67185843663628</v>
      </c>
      <c r="J27" s="170">
        <v>71.49845913155987</v>
      </c>
      <c r="K27" s="170">
        <v>56.77035683460436</v>
      </c>
      <c r="L27" s="170">
        <v>96.0099913884977</v>
      </c>
      <c r="M27" s="170">
        <v>72.61155833033234</v>
      </c>
      <c r="N27" s="170">
        <v>0</v>
      </c>
      <c r="O27" s="118">
        <f>SUM(C27:N27)</f>
      </c>
      <c r="P27" s="120">
        <f>O27/$O$16</f>
      </c>
      <c r="Q27" s="90"/>
      <c r="R27" s="1"/>
      <c r="S27" s="1"/>
      <c r="T27" s="1"/>
    </row>
    <row r="28">
      <c r="A28" s="118"/>
      <c r="B28" s="90" t="str">
        <v>品牌营销</v>
      </c>
      <c r="C28" s="170">
        <v>0</v>
      </c>
      <c r="D28" s="170">
        <v>0</v>
      </c>
      <c r="E28" s="170">
        <v>0</v>
      </c>
      <c r="F28" s="170">
        <v>51.35224647018082</v>
      </c>
      <c r="G28" s="170">
        <v>548.400885159591</v>
      </c>
      <c r="H28" s="170">
        <v>257.59975265329234</v>
      </c>
      <c r="I28" s="170">
        <v>0</v>
      </c>
      <c r="J28" s="170">
        <v>85.79815095787184</v>
      </c>
      <c r="K28" s="170">
        <v>181.66514187073395</v>
      </c>
      <c r="L28" s="170">
        <v>115.21198966619723</v>
      </c>
      <c r="M28" s="170">
        <v>87.13386999639881</v>
      </c>
      <c r="N28" s="170">
        <v>0</v>
      </c>
      <c r="O28" s="118">
        <f>SUM(C28:N28)</f>
      </c>
      <c r="P28" s="120">
        <f>O28/$O$16</f>
      </c>
      <c r="Q28" s="90"/>
      <c r="R28" s="1"/>
      <c r="S28" s="1"/>
      <c r="T28" s="1"/>
    </row>
    <row r="29">
      <c r="A29" s="118"/>
      <c r="B29" s="90" t="str">
        <v>内容素材制作</v>
      </c>
      <c r="C29" s="170">
        <v>25.22541604438031</v>
      </c>
      <c r="D29" s="170">
        <v>20.621378339099298</v>
      </c>
      <c r="E29" s="170">
        <v>20.505392346455803</v>
      </c>
      <c r="F29" s="170">
        <v>85.58707745030138</v>
      </c>
      <c r="G29" s="170">
        <v>548.400885159591</v>
      </c>
      <c r="H29" s="170">
        <v>354.19965989827693</v>
      </c>
      <c r="I29" s="170">
        <v>0</v>
      </c>
      <c r="J29" s="170">
        <v>85.79815095787184</v>
      </c>
      <c r="K29" s="170">
        <v>181.66514187073395</v>
      </c>
      <c r="L29" s="170">
        <v>192.0199827769954</v>
      </c>
      <c r="M29" s="170">
        <v>145.2231166606647</v>
      </c>
      <c r="N29" s="170">
        <v>25.452591767754303</v>
      </c>
      <c r="O29" s="118">
        <f>SUM(C29:N29)</f>
      </c>
      <c r="P29" s="120">
        <f>O29/$O$16</f>
      </c>
      <c r="Q29" s="1"/>
      <c r="R29" s="1"/>
      <c r="S29" s="1"/>
      <c r="T29" s="1"/>
    </row>
    <row r="30">
      <c r="A30" s="118"/>
      <c r="B30" s="90" t="str">
        <v>公关费用</v>
      </c>
      <c r="C30" s="170">
        <v>25.22541604438031</v>
      </c>
      <c r="D30" s="170">
        <v>20.621378339099298</v>
      </c>
      <c r="E30" s="170">
        <v>164.04313877164643</v>
      </c>
      <c r="F30" s="170">
        <v>17.117415490060274</v>
      </c>
      <c r="G30" s="170">
        <v>109.68017703191822</v>
      </c>
      <c r="H30" s="170">
        <v>32.19996908166154</v>
      </c>
      <c r="I30" s="170">
        <v>20.66874337465451</v>
      </c>
      <c r="J30" s="170">
        <v>28.599383652623953</v>
      </c>
      <c r="K30" s="170">
        <v>22.708142733841743</v>
      </c>
      <c r="L30" s="170">
        <v>76.80799311079815</v>
      </c>
      <c r="M30" s="170">
        <v>58.089246664265886</v>
      </c>
      <c r="N30" s="170">
        <v>25.452591767754303</v>
      </c>
      <c r="O30" s="118">
        <f>SUM(C30:N30)</f>
      </c>
      <c r="P30" s="120">
        <f>O30/$O$16</f>
      </c>
      <c r="Q30" s="1"/>
      <c r="R30" s="1"/>
      <c r="S30" s="1"/>
      <c r="T30" s="1"/>
    </row>
    <row r="31">
      <c r="A31" s="118"/>
      <c r="B31" s="90" t="str">
        <v>达人种草、样机及加热</v>
      </c>
      <c r="C31" s="170">
        <v>252.25416044380313</v>
      </c>
      <c r="D31" s="170">
        <v>1031.0689169549648</v>
      </c>
      <c r="E31" s="170">
        <v>1640.4313877164645</v>
      </c>
      <c r="F31" s="170">
        <v>855.8707745030138</v>
      </c>
      <c r="G31" s="170">
        <v>3290.4053109575466</v>
      </c>
      <c r="H31" s="170">
        <v>1931.9981448996923</v>
      </c>
      <c r="I31" s="170">
        <v>413.3748674930902</v>
      </c>
      <c r="J31" s="170">
        <v>571.987673052479</v>
      </c>
      <c r="K31" s="170">
        <v>227.08142733841743</v>
      </c>
      <c r="L31" s="170">
        <v>1920.1998277699538</v>
      </c>
      <c r="M31" s="170">
        <v>580.8924666426587</v>
      </c>
      <c r="N31" s="170">
        <v>509.05183535508604</v>
      </c>
      <c r="O31" s="118">
        <f>SUM(C31:N31)</f>
      </c>
      <c r="P31" s="120">
        <f>O31/$O$16</f>
      </c>
      <c r="Q31" s="1"/>
      <c r="R31" s="1"/>
      <c r="S31" s="1"/>
      <c r="T31" s="1"/>
    </row>
    <row outlineLevel="1" r="32">
      <c r="A32" s="118"/>
      <c r="B32" s="90" t="str">
        <v>展会(费率)</v>
      </c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20"/>
      <c r="Q32" s="1"/>
      <c r="R32" s="1"/>
      <c r="S32" s="1"/>
      <c r="T32" s="1"/>
    </row>
    <row outlineLevel="1" r="33">
      <c r="A33" s="118"/>
      <c r="B33" s="90" t="str">
        <v>品牌营销（费率）</v>
      </c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20"/>
      <c r="Q33" s="1"/>
      <c r="R33" s="1"/>
      <c r="S33" s="1"/>
      <c r="T33" s="1"/>
    </row>
    <row outlineLevel="1" r="34">
      <c r="A34" s="118"/>
      <c r="B34" s="90" t="str">
        <v>内容素材制作（费率）</v>
      </c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20"/>
      <c r="Q34" s="1"/>
      <c r="R34" s="1"/>
      <c r="S34" s="1"/>
      <c r="T34" s="1"/>
    </row>
    <row outlineLevel="1" r="35">
      <c r="A35" s="118"/>
      <c r="B35" s="90" t="str">
        <v>公关费用（费率）</v>
      </c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20"/>
      <c r="Q35" s="1"/>
      <c r="R35" s="1"/>
      <c r="S35" s="1"/>
      <c r="T35" s="1"/>
    </row>
    <row outlineLevel="1" r="36">
      <c r="A36" s="118"/>
      <c r="B36" s="90" t="str">
        <v>达人种草、样机及加热（费率）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18"/>
      <c r="P36" s="120"/>
      <c r="Q36" s="1"/>
      <c r="R36" s="1"/>
      <c r="S36" s="1"/>
      <c r="T36" s="1"/>
    </row>
    <row r="37">
      <c r="A37" s="1"/>
      <c r="B37" s="85" t="str">
        <v>效果广告</v>
      </c>
      <c r="C37" s="127">
        <f>SUM(C38:C40)</f>
      </c>
      <c r="D37" s="127">
        <f>SUM(D38:D40)</f>
      </c>
      <c r="E37" s="127">
        <f>SUM(E38:E40)</f>
      </c>
      <c r="F37" s="127">
        <f>SUM(F38:F40)</f>
      </c>
      <c r="G37" s="127">
        <f>SUM(G38:G40)</f>
      </c>
      <c r="H37" s="127">
        <f>SUM(H38:H40)</f>
      </c>
      <c r="I37" s="127">
        <f>SUM(I38:I40)</f>
      </c>
      <c r="J37" s="127">
        <f>SUM(J38:J40)</f>
      </c>
      <c r="K37" s="127">
        <f>SUM(K38:K40)</f>
      </c>
      <c r="L37" s="127">
        <f>SUM(L38:L40)</f>
      </c>
      <c r="M37" s="127">
        <f>SUM(M38:M40)</f>
      </c>
      <c r="N37" s="127">
        <f>SUM(N38:N40)</f>
      </c>
      <c r="O37" s="127">
        <f>SUM(C37:N37)</f>
      </c>
      <c r="P37" s="128">
        <f>O37/$O$16</f>
      </c>
      <c r="Q37" s="1"/>
      <c r="R37" s="1"/>
      <c r="S37" s="1"/>
      <c r="T37" s="1"/>
    </row>
    <row r="38">
      <c r="A38" s="118"/>
      <c r="B38" s="90" t="str">
        <v>站内投放</v>
      </c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18">
        <f>SUM(C38:N38)</f>
      </c>
      <c r="P38" s="120">
        <f>O38/$O$16</f>
      </c>
      <c r="Q38" s="1" t="str">
        <v>投放填写</v>
      </c>
      <c r="R38" s="1"/>
      <c r="S38" s="1"/>
      <c r="T38" s="1"/>
    </row>
    <row r="39">
      <c r="A39" s="118"/>
      <c r="B39" s="90" t="str">
        <v>千川投放</v>
      </c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18">
        <f>SUM(C39:N39)</f>
      </c>
      <c r="P39" s="120">
        <f>O39/$O$16</f>
      </c>
      <c r="Q39" s="1" t="str">
        <v>投放填写</v>
      </c>
      <c r="R39" s="1"/>
      <c r="S39" s="1"/>
      <c r="T39" s="1"/>
    </row>
    <row r="40">
      <c r="A40" s="118"/>
      <c r="B40" s="90" t="str">
        <v>站外投放</v>
      </c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18">
        <f>SUM(C40:N40)</f>
      </c>
      <c r="P40" s="120">
        <f>O40/$O$16</f>
      </c>
      <c r="Q40" s="1" t="str">
        <v>投放填写</v>
      </c>
      <c r="R40" s="1"/>
      <c r="S40" s="1"/>
      <c r="T40" s="1"/>
    </row>
    <row outlineLevel="1" r="41">
      <c r="A41" s="118"/>
      <c r="B41" s="90" t="str">
        <v>站内投放（费率）</v>
      </c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20">
        <f>O38/$O$16</f>
      </c>
      <c r="P41" s="1"/>
      <c r="Q41" s="1" t="str">
        <v>投放填写</v>
      </c>
      <c r="R41" s="1"/>
      <c r="S41" s="1"/>
      <c r="T41" s="1"/>
    </row>
    <row outlineLevel="1" r="42">
      <c r="A42" s="118"/>
      <c r="B42" s="90" t="str">
        <v>千川投放（费率）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20">
        <f>O39/$O$16</f>
      </c>
      <c r="P42" s="1"/>
      <c r="Q42" s="1" t="str">
        <v>投放填写</v>
      </c>
      <c r="R42" s="1"/>
      <c r="S42" s="1"/>
      <c r="T42" s="1"/>
    </row>
    <row outlineLevel="1" r="43">
      <c r="A43" s="118"/>
      <c r="B43" s="90" t="str">
        <v>站外投放（费率）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20">
        <f>O40/$O$16</f>
      </c>
      <c r="P43" s="1"/>
      <c r="Q43" s="1" t="str">
        <v>投放填写</v>
      </c>
      <c r="R43" s="1"/>
      <c r="S43" s="1"/>
      <c r="T43" s="1"/>
    </row>
    <row r="44">
      <c r="A44" s="1"/>
      <c r="B44" s="85" t="str">
        <v>线上营销费用</v>
      </c>
      <c r="C44" s="127">
        <f>SUM(C45:C46)</f>
      </c>
      <c r="D44" s="127">
        <f>SUM(D45:D46)</f>
      </c>
      <c r="E44" s="127">
        <f>SUM(E45:E46)</f>
      </c>
      <c r="F44" s="127">
        <f>SUM(F45:F46)</f>
      </c>
      <c r="G44" s="127">
        <f>SUM(G45:G46)</f>
      </c>
      <c r="H44" s="127">
        <f>SUM(H45:H46)</f>
      </c>
      <c r="I44" s="127">
        <f>SUM(I45:I46)</f>
      </c>
      <c r="J44" s="127">
        <f>SUM(J45:J46)</f>
      </c>
      <c r="K44" s="127">
        <f>SUM(K45:K46)</f>
      </c>
      <c r="L44" s="127">
        <f>SUM(L45:L46)</f>
      </c>
      <c r="M44" s="127">
        <f>SUM(M45:M46)</f>
      </c>
      <c r="N44" s="127">
        <f>SUM(N45:N46)</f>
      </c>
      <c r="O44" s="127">
        <f>SUM(C44:N44)</f>
      </c>
      <c r="P44" s="128">
        <f>O44/$O$16</f>
      </c>
      <c r="Q44" s="1"/>
      <c r="R44" s="1"/>
      <c r="S44" s="1"/>
      <c r="T44" s="1"/>
    </row>
    <row r="45">
      <c r="A45" s="118"/>
      <c r="B45" s="90" t="str">
        <v>直播费用</v>
      </c>
      <c r="C45" s="170">
        <f>C8*0.4*0.4+C8*0.6*0.2</f>
      </c>
      <c r="D45" s="170">
        <f>D8*0.4*0.4+D8*0.6*0.2</f>
      </c>
      <c r="E45" s="170">
        <f>E8*0.4*0.4+E8*0.6*0.2</f>
      </c>
      <c r="F45" s="170">
        <f>F8*0.4*0.4+F8*0.6*0.2</f>
      </c>
      <c r="G45" s="170">
        <f>G8*0.4*0.4+G8*0.6*0.2</f>
      </c>
      <c r="H45" s="170">
        <f>H8*0.4*0.4+H8*0.6*0.2</f>
      </c>
      <c r="I45" s="170">
        <f>I8*0.4*0.4+I8*0.6*0.2</f>
      </c>
      <c r="J45" s="170">
        <f>J8*0.4*0.4+J8*0.6*0.2</f>
      </c>
      <c r="K45" s="170">
        <f>K8*0.4*0.4+K8*0.6*0.2</f>
      </c>
      <c r="L45" s="170">
        <f>L8*0.4*0.4+L8*0.6*0.2</f>
      </c>
      <c r="M45" s="170">
        <f>M8*0.4*0.4+M8*0.6*0.2</f>
      </c>
      <c r="N45" s="170">
        <f>N8*0.4*0.4+N8*0.6*0.2</f>
      </c>
      <c r="O45" s="118">
        <f>SUM(C45:N45)</f>
      </c>
      <c r="P45" s="120">
        <f>O45/O16</f>
      </c>
      <c r="Q45" s="188" t="str">
        <v>按店铺40%*40%佣金,达播60%*20%佣金合计</v>
      </c>
      <c r="R45" s="1"/>
      <c r="S45" s="1"/>
      <c r="T45" s="1"/>
    </row>
    <row r="46">
      <c r="A46" s="118"/>
      <c r="B46" s="90" t="str">
        <v>赠品费用</v>
      </c>
      <c r="C46" s="170">
        <f>C16*$P$46</f>
      </c>
      <c r="D46" s="170">
        <f>D16*$P$46</f>
      </c>
      <c r="E46" s="170">
        <f>E16*$P$46</f>
      </c>
      <c r="F46" s="170">
        <f>F16*$P$46</f>
      </c>
      <c r="G46" s="170">
        <f>G16*$P$46</f>
      </c>
      <c r="H46" s="170">
        <f>H16*$P$46</f>
      </c>
      <c r="I46" s="170">
        <f>I16*$P$46</f>
      </c>
      <c r="J46" s="170">
        <f>J16*$P$46</f>
      </c>
      <c r="K46" s="170">
        <f>K16*$P$46</f>
      </c>
      <c r="L46" s="170">
        <f>L16*$P$46</f>
      </c>
      <c r="M46" s="170">
        <f>M16*$P$46</f>
      </c>
      <c r="N46" s="170">
        <f>N16*$P$46</f>
      </c>
      <c r="O46" s="118">
        <f>SUM(C46:N46)</f>
      </c>
      <c r="P46" s="120">
        <v>0.02</v>
      </c>
      <c r="Q46" s="90" t="str">
        <v>渠道填写</v>
      </c>
      <c r="R46" s="1"/>
      <c r="S46" s="1"/>
      <c r="T46" s="1"/>
    </row>
    <row r="47">
      <c r="A47" s="1"/>
      <c r="B47" s="85" t="str">
        <v>线下市场费用</v>
      </c>
      <c r="C47" s="127">
        <f>SUM(C48:C51)</f>
      </c>
      <c r="D47" s="127">
        <f>SUM(D48:D51)</f>
      </c>
      <c r="E47" s="127">
        <f>SUM(E48:E51)</f>
      </c>
      <c r="F47" s="127">
        <f>SUM(F48:F51)</f>
      </c>
      <c r="G47" s="127">
        <f>SUM(G48:G51)</f>
      </c>
      <c r="H47" s="127">
        <f>SUM(H48:H51)</f>
      </c>
      <c r="I47" s="127">
        <f>SUM(I48:I51)</f>
      </c>
      <c r="J47" s="127">
        <f>SUM(J48:J51)</f>
      </c>
      <c r="K47" s="127">
        <f>SUM(K48:K51)</f>
      </c>
      <c r="L47" s="127">
        <f>SUM(L48:L51)</f>
      </c>
      <c r="M47" s="127">
        <f>SUM(M48:M51)</f>
      </c>
      <c r="N47" s="127">
        <f>SUM(N48:N51)</f>
      </c>
      <c r="O47" s="127">
        <f>SUM(C47:N47)</f>
      </c>
      <c r="P47" s="128">
        <f>O47/$O$16</f>
      </c>
      <c r="Q47" s="1"/>
      <c r="R47" s="1"/>
      <c r="S47" s="1"/>
      <c r="T47" s="1"/>
    </row>
    <row r="48">
      <c r="A48" s="118"/>
      <c r="B48" s="90" t="str">
        <v>线下渠道展陈、促销费用</v>
      </c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18">
        <f>SUM(C48:N48)</f>
      </c>
      <c r="P48" s="120">
        <f>O48/$O$16</f>
      </c>
      <c r="Q48" s="90" t="str">
        <v>线下门店</v>
      </c>
      <c r="R48" s="1"/>
      <c r="S48" s="1"/>
      <c r="T48" s="1"/>
    </row>
    <row r="49">
      <c r="A49" s="118"/>
      <c r="B49" s="90" t="str">
        <v>租金+物业+水电</v>
      </c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18">
        <f>SUM(C49:N49)</f>
      </c>
      <c r="P49" s="120">
        <f>O49/$O$16</f>
      </c>
      <c r="Q49" s="90" t="str">
        <v>线下门店</v>
      </c>
      <c r="R49" s="1"/>
      <c r="S49" s="1"/>
      <c r="T49" s="1"/>
    </row>
    <row r="50">
      <c r="A50" s="118"/>
      <c r="B50" s="90" t="str">
        <v>门店人工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18">
        <f>SUM(C50:N50)</f>
      </c>
      <c r="P50" s="120">
        <f>O50/$O$16</f>
      </c>
      <c r="Q50" s="90" t="str">
        <v>线下门店</v>
      </c>
      <c r="R50" s="1"/>
      <c r="S50" s="1"/>
      <c r="T50" s="1"/>
    </row>
    <row r="51">
      <c r="A51" s="1"/>
      <c r="B51" s="90" t="str">
        <v>门店展陈装修等其他</v>
      </c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18">
        <f>SUM(C51:N51)</f>
      </c>
      <c r="P51" s="120">
        <f>O51/$O$16</f>
      </c>
      <c r="Q51" s="90" t="str">
        <v>线下门店</v>
      </c>
      <c r="R51" s="1"/>
      <c r="S51" s="1"/>
      <c r="T51" s="1"/>
    </row>
    <row r="52">
      <c r="A52" s="1"/>
      <c r="B52" s="83" t="str">
        <v>市场投入费用</v>
      </c>
      <c r="C52" s="115">
        <f>SUM(C26,C37,C44,C47)</f>
      </c>
      <c r="D52" s="115">
        <f>SUM(D26,D37,D44,D47)</f>
      </c>
      <c r="E52" s="115">
        <f>SUM(E26,E37,E44,E47)</f>
      </c>
      <c r="F52" s="115">
        <f>SUM(F26,F37,F44,F47)</f>
      </c>
      <c r="G52" s="115">
        <f>SUM(G26,G37,G44,G47)</f>
      </c>
      <c r="H52" s="115">
        <f>SUM(H26,H37,H44,H47)</f>
      </c>
      <c r="I52" s="115">
        <f>SUM(I26,I37,I44,I47)</f>
      </c>
      <c r="J52" s="115">
        <f>SUM(J26,J37,J44,J47)</f>
      </c>
      <c r="K52" s="115">
        <f>SUM(K26,K37,K44,K47)</f>
      </c>
      <c r="L52" s="115">
        <f>SUM(L26,L37,L44,L47)</f>
      </c>
      <c r="M52" s="115">
        <f>SUM(M26,M37,M44,M47)</f>
      </c>
      <c r="N52" s="115">
        <f>SUM(N26,N37,N44,N47)</f>
      </c>
      <c r="O52" s="115">
        <f>SUM(C52:N52)</f>
      </c>
      <c r="P52" s="116">
        <f>O52/$O$16</f>
      </c>
      <c r="Q52" s="1"/>
      <c r="R52" s="1"/>
      <c r="S52" s="1"/>
      <c r="T52" s="1"/>
    </row>
    <row r="53">
      <c r="A53" s="118"/>
      <c r="B53" s="90" t="str">
        <v>平台佣金</v>
      </c>
      <c r="C53" s="170">
        <f>C16*$P$53</f>
      </c>
      <c r="D53" s="170">
        <f>D16*$P$53</f>
      </c>
      <c r="E53" s="170">
        <f>E16*$P$53</f>
      </c>
      <c r="F53" s="170">
        <f>F16*$P$53</f>
      </c>
      <c r="G53" s="170">
        <f>G16*$P$53</f>
      </c>
      <c r="H53" s="170">
        <f>H16*$P$53</f>
      </c>
      <c r="I53" s="170">
        <f>I16*$P$53</f>
      </c>
      <c r="J53" s="170">
        <f>J16*$P$53</f>
      </c>
      <c r="K53" s="170">
        <f>K16*$P$53</f>
      </c>
      <c r="L53" s="170">
        <f>L16*$P$53</f>
      </c>
      <c r="M53" s="170">
        <f>M16*$P$53</f>
      </c>
      <c r="N53" s="170">
        <f>N16*$P$53</f>
      </c>
      <c r="O53" s="118">
        <f>SUM(C53:N53)</f>
      </c>
      <c r="P53" s="120">
        <v>0.025</v>
      </c>
      <c r="Q53" s="189" t="str">
        <v>平台佣金2.5%</v>
      </c>
      <c r="R53" s="1"/>
      <c r="S53" s="1"/>
      <c r="T53" s="1"/>
    </row>
    <row r="54">
      <c r="A54" s="118"/>
      <c r="B54" s="90" t="str">
        <v>平台其他费用</v>
      </c>
      <c r="C54" s="170">
        <f>C16*$P$54</f>
      </c>
      <c r="D54" s="170">
        <f>D16*$P$54</f>
      </c>
      <c r="E54" s="170">
        <f>E16*$P$54</f>
      </c>
      <c r="F54" s="170">
        <f>F16*$P$54</f>
      </c>
      <c r="G54" s="170">
        <f>G16*$P$54</f>
      </c>
      <c r="H54" s="170">
        <f>H16*$P$54</f>
      </c>
      <c r="I54" s="170">
        <f>I16*$P$54</f>
      </c>
      <c r="J54" s="170">
        <f>J16*$P$54</f>
      </c>
      <c r="K54" s="170">
        <f>K16*$P$54</f>
      </c>
      <c r="L54" s="170">
        <f>L16*$P$54</f>
      </c>
      <c r="M54" s="170">
        <f>M16*$P$54</f>
      </c>
      <c r="N54" s="170">
        <f>N16*$P$54</f>
      </c>
      <c r="O54" s="118">
        <f>SUM(C54:N54)</f>
      </c>
      <c r="P54" s="120">
        <v>0.007</v>
      </c>
      <c r="Q54" s="189" t="str">
        <v>按25年平台其他费用占GMV比例0.7%</v>
      </c>
      <c r="R54" s="1"/>
      <c r="S54" s="1"/>
      <c r="T54" s="1"/>
    </row>
    <row r="55">
      <c r="A55" s="118"/>
      <c r="B55" s="90" t="str">
        <v>售后费用</v>
      </c>
      <c r="C55" s="170">
        <v>1620.7397111674657</v>
      </c>
      <c r="D55" s="170">
        <v>1059.8199799095128</v>
      </c>
      <c r="E55" s="170">
        <v>826.6513312235695</v>
      </c>
      <c r="F55" s="170">
        <v>1272.1694787724903</v>
      </c>
      <c r="G55" s="170">
        <v>1092.5355676263805</v>
      </c>
      <c r="H55" s="170">
        <v>765.3965648376932</v>
      </c>
      <c r="I55" s="170">
        <v>1066.4094252961352</v>
      </c>
      <c r="J55" s="170">
        <v>825.0306237271275</v>
      </c>
      <c r="K55" s="170">
        <v>1136.8400193109449</v>
      </c>
      <c r="L55" s="170">
        <v>897.3381090073387</v>
      </c>
      <c r="M55" s="170">
        <v>785.9633659780607</v>
      </c>
      <c r="N55" s="170">
        <v>766.8462274824047</v>
      </c>
      <c r="O55" s="118">
        <f>SUM(C55:N55)</f>
      </c>
      <c r="P55" s="120">
        <v>0.03</v>
      </c>
      <c r="Q55" s="1"/>
      <c r="R55" s="1"/>
      <c r="S55" s="1"/>
      <c r="T55" s="1"/>
    </row>
    <row r="56">
      <c r="A56" s="118"/>
      <c r="B56" s="90" t="str">
        <v>短信及店铺软件</v>
      </c>
      <c r="C56" s="170">
        <f>C16*$P$56</f>
      </c>
      <c r="D56" s="170">
        <f>D16*$P$56</f>
      </c>
      <c r="E56" s="170">
        <f>E16*$P$56</f>
      </c>
      <c r="F56" s="170">
        <f>F16*$P$56</f>
      </c>
      <c r="G56" s="170">
        <f>G16*$P$56</f>
      </c>
      <c r="H56" s="170">
        <f>H16*$P$56</f>
      </c>
      <c r="I56" s="170">
        <f>I16*$P$56</f>
      </c>
      <c r="J56" s="170">
        <f>J16*$P$56</f>
      </c>
      <c r="K56" s="170">
        <f>K16*$P$56</f>
      </c>
      <c r="L56" s="170">
        <f>L16*$P$56</f>
      </c>
      <c r="M56" s="170">
        <f>M16*$P$56</f>
      </c>
      <c r="N56" s="170">
        <f>N16*$P$56</f>
      </c>
      <c r="O56" s="118">
        <f>SUM(C56:N56)</f>
      </c>
      <c r="P56" s="120">
        <v>0.001</v>
      </c>
      <c r="Q56" s="1"/>
      <c r="R56" s="1"/>
      <c r="S56" s="1"/>
      <c r="T56" s="1"/>
    </row>
    <row r="57">
      <c r="A57" s="118"/>
      <c r="B57" s="90" t="str">
        <v>其他运营费用（咨询调研等）</v>
      </c>
      <c r="C57" s="170">
        <v>191.76585095808784</v>
      </c>
      <c r="D57" s="170"/>
      <c r="E57" s="170"/>
      <c r="F57" s="170"/>
      <c r="G57" s="170">
        <v>76.70634038323513</v>
      </c>
      <c r="H57" s="170"/>
      <c r="I57" s="170"/>
      <c r="J57" s="170"/>
      <c r="K57" s="170"/>
      <c r="L57" s="170">
        <v>76.70634038323513</v>
      </c>
      <c r="M57" s="170"/>
      <c r="N57" s="170">
        <v>230.11902114970542</v>
      </c>
      <c r="O57" s="118">
        <f>SUM(C57:N57)</f>
      </c>
      <c r="P57" s="120">
        <f>O57/$O$16</f>
      </c>
      <c r="Q57" s="90"/>
      <c r="R57" s="1"/>
      <c r="S57" s="1"/>
      <c r="T57" s="1"/>
    </row>
    <row r="58">
      <c r="A58" s="1"/>
      <c r="B58" s="83" t="str">
        <v>店铺运营费用</v>
      </c>
      <c r="C58" s="115">
        <f>SUM(C53:C57)</f>
      </c>
      <c r="D58" s="115">
        <f>SUM(D53:D57)</f>
      </c>
      <c r="E58" s="115">
        <f>SUM(E53:E57)</f>
      </c>
      <c r="F58" s="115">
        <f>SUM(F53:F57)</f>
      </c>
      <c r="G58" s="115">
        <f>SUM(G53:G57)</f>
      </c>
      <c r="H58" s="115">
        <f>SUM(H53:H57)</f>
      </c>
      <c r="I58" s="115">
        <f>SUM(I53:I57)</f>
      </c>
      <c r="J58" s="115">
        <f>SUM(J53:J57)</f>
      </c>
      <c r="K58" s="115">
        <f>SUM(K53:K57)</f>
      </c>
      <c r="L58" s="115">
        <f>SUM(L53:L57)</f>
      </c>
      <c r="M58" s="115">
        <f>SUM(M53:M57)</f>
      </c>
      <c r="N58" s="115">
        <f>SUM(N53:N57)</f>
      </c>
      <c r="O58" s="115">
        <f>SUM(C58:N58)</f>
      </c>
      <c r="P58" s="116">
        <f>O58/$O$16</f>
      </c>
      <c r="Q58" s="1"/>
      <c r="R58" s="1"/>
      <c r="S58" s="1"/>
      <c r="T58" s="1"/>
    </row>
    <row r="59">
      <c r="A59" s="135"/>
      <c r="B59" s="98" t="str">
        <v>A&amp;P 合计数</v>
      </c>
      <c r="C59" s="98">
        <f>SUM(C52,C58)</f>
      </c>
      <c r="D59" s="98">
        <f>SUM(D52,D58)</f>
      </c>
      <c r="E59" s="98">
        <f>SUM(E52,E58)</f>
      </c>
      <c r="F59" s="98">
        <f>SUM(F52,F58)</f>
      </c>
      <c r="G59" s="98">
        <f>SUM(G52,G58)</f>
      </c>
      <c r="H59" s="98">
        <f>SUM(H52,H58)</f>
      </c>
      <c r="I59" s="98">
        <f>SUM(I52,I58)</f>
      </c>
      <c r="J59" s="98">
        <f>SUM(J52,J58)</f>
      </c>
      <c r="K59" s="98">
        <f>SUM(K52,K58)</f>
      </c>
      <c r="L59" s="98">
        <f>SUM(L52,L58)</f>
      </c>
      <c r="M59" s="98">
        <f>SUM(M52,M58)</f>
      </c>
      <c r="N59" s="98">
        <f>SUM(N52,N58)</f>
      </c>
      <c r="O59" s="98">
        <f>SUM(C59:N59)</f>
      </c>
      <c r="P59" s="162">
        <f>O59/$O$16</f>
      </c>
      <c r="Q59" s="135"/>
      <c r="R59" s="175"/>
      <c r="S59" s="1"/>
      <c r="T59" s="1"/>
    </row>
    <row r="60">
      <c r="A60" s="135"/>
      <c r="B60" s="98" t="str">
        <v>店铺利润</v>
      </c>
      <c r="C60" s="98">
        <f>C22-C59</f>
      </c>
      <c r="D60" s="98">
        <f>D22-D59</f>
      </c>
      <c r="E60" s="98">
        <f>E22-E59</f>
      </c>
      <c r="F60" s="98">
        <f>F22-F59</f>
      </c>
      <c r="G60" s="98">
        <f>G22-G59</f>
      </c>
      <c r="H60" s="98">
        <f>H22-H59</f>
      </c>
      <c r="I60" s="98">
        <f>I22-I59</f>
      </c>
      <c r="J60" s="98">
        <f>J22-J59</f>
      </c>
      <c r="K60" s="98">
        <f>K22-K59</f>
      </c>
      <c r="L60" s="98">
        <f>L22-L59</f>
      </c>
      <c r="M60" s="98">
        <f>M22-M59</f>
      </c>
      <c r="N60" s="98">
        <f>N22-N59</f>
      </c>
      <c r="O60" s="98">
        <f>SUM(C60:N60)</f>
      </c>
      <c r="P60" s="162">
        <f>O60/$O$16</f>
      </c>
      <c r="Q60" s="135"/>
      <c r="R60" s="182"/>
      <c r="S60" s="1"/>
      <c r="T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>
      <c r="A62" s="1"/>
      <c r="B62" s="179" t="str">
        <v>辅助计算</v>
      </c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58"/>
      <c r="P62" s="1"/>
      <c r="Q62" s="1"/>
      <c r="R62" s="1"/>
      <c r="S62" s="1"/>
      <c r="T62" s="1"/>
    </row>
    <row r="63">
      <c r="A63" s="1"/>
      <c r="B63" s="181" t="str">
        <v>国补后价格(销量加权)</v>
      </c>
      <c r="C63" s="181">
        <v>366.6</v>
      </c>
      <c r="D63" s="181">
        <v>362.6</v>
      </c>
      <c r="E63" s="181">
        <v>362.8</v>
      </c>
      <c r="F63" s="181">
        <v>357</v>
      </c>
      <c r="G63" s="181">
        <v>376.4</v>
      </c>
      <c r="H63" s="181">
        <v>376.1</v>
      </c>
      <c r="I63" s="181">
        <v>401.9</v>
      </c>
      <c r="J63" s="181">
        <v>400.9</v>
      </c>
      <c r="K63" s="181">
        <v>401.8</v>
      </c>
      <c r="L63" s="181">
        <v>398.6</v>
      </c>
      <c r="M63" s="181">
        <v>397.7</v>
      </c>
      <c r="N63" s="181">
        <v>392.4</v>
      </c>
      <c r="O63" s="1"/>
      <c r="P63" s="1"/>
      <c r="Q63" s="1"/>
      <c r="R63" s="1"/>
      <c r="S63" s="1"/>
      <c r="T63" s="1"/>
    </row>
    <row r="64">
      <c r="A64" s="1"/>
      <c r="B64" s="181" t="str">
        <v>成本不含税（销量加权）</v>
      </c>
      <c r="C64" s="181">
        <v>158.8</v>
      </c>
      <c r="D64" s="181">
        <v>156.4</v>
      </c>
      <c r="E64" s="181">
        <v>165.1</v>
      </c>
      <c r="F64" s="181">
        <v>162.9</v>
      </c>
      <c r="G64" s="181">
        <v>153</v>
      </c>
      <c r="H64" s="181">
        <v>155.3</v>
      </c>
      <c r="I64" s="181">
        <v>153.3</v>
      </c>
      <c r="J64" s="181">
        <v>152.5</v>
      </c>
      <c r="K64" s="181">
        <v>150.2</v>
      </c>
      <c r="L64" s="181">
        <v>146.6</v>
      </c>
      <c r="M64" s="181">
        <v>142.9</v>
      </c>
      <c r="N64" s="181">
        <v>139.6</v>
      </c>
      <c r="O64" s="1"/>
      <c r="P64" s="1"/>
      <c r="Q64" s="1"/>
      <c r="R64" s="1"/>
      <c r="S64" s="1"/>
      <c r="T64" s="1"/>
    </row>
    <row r="65">
      <c r="A65" s="1"/>
      <c r="B65" s="179" t="str">
        <v>退后销量</v>
      </c>
      <c r="C65" s="178">
        <f>C8/C63</f>
      </c>
      <c r="D65" s="178">
        <f>D8/D63</f>
      </c>
      <c r="E65" s="178">
        <f>E8/E63</f>
      </c>
      <c r="F65" s="178">
        <f>F8/F63</f>
      </c>
      <c r="G65" s="178">
        <f>G8/G63</f>
      </c>
      <c r="H65" s="178">
        <f>H8/H63</f>
      </c>
      <c r="I65" s="178">
        <f>I8/I63</f>
      </c>
      <c r="J65" s="178">
        <f>J8/J63</f>
      </c>
      <c r="K65" s="178">
        <f>K8/K63</f>
      </c>
      <c r="L65" s="178">
        <f>L8/L63</f>
      </c>
      <c r="M65" s="178">
        <f>M8/M63</f>
      </c>
      <c r="N65" s="178">
        <f>N8/N63</f>
      </c>
      <c r="O65" s="1"/>
      <c r="P65" s="1"/>
      <c r="Q65" s="1"/>
      <c r="R65" s="1"/>
      <c r="S65" s="1"/>
      <c r="T65" s="1"/>
    </row>
    <row r="66">
      <c r="A66" s="1"/>
      <c r="B66" s="19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"/>
      <c r="P66" s="1"/>
      <c r="Q66" s="1"/>
      <c r="R66" s="1"/>
      <c r="S66" s="1"/>
      <c r="T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>
      <c r="A82" s="1"/>
      <c r="B82" s="1"/>
      <c r="C82" s="158">
        <f>C16-C18-C20-C26-C37-C44-C47-C58-C60</f>
      </c>
      <c r="D82" s="158">
        <f>D16-D18-D20-D26-D37-D44-D47-D58-D60</f>
      </c>
      <c r="E82" s="158">
        <f>E16-E18-E20-E26-E37-E44-E47-E58-E60</f>
      </c>
      <c r="F82" s="158">
        <f>F16-F18-F20-F26-F37-F44-F47-F58-F60</f>
      </c>
      <c r="G82" s="158">
        <f>G16-G18-G20-G26-G37-G44-G47-G58-G60</f>
      </c>
      <c r="H82" s="158">
        <f>H16-H18-H20-H26-H37-H44-H47-H58-H60</f>
      </c>
      <c r="I82" s="158">
        <f>I16-I18-I20-I26-I37-I44-I47-I58-I60</f>
      </c>
      <c r="J82" s="158">
        <f>J16-J18-J20-J26-J37-J44-J47-J58-J60</f>
      </c>
      <c r="K82" s="158">
        <f>K16-K18-K20-K26-K37-K44-K47-K58-K60</f>
      </c>
      <c r="L82" s="158">
        <f>L16-L18-L20-L26-L37-L44-L47-L58-L60</f>
      </c>
      <c r="M82" s="158">
        <f>M16-M18-M20-M26-M37-M44-M47-M58-M60</f>
      </c>
      <c r="N82" s="158">
        <f>N16-N18-N20-N26-N37-N44-N47-N58-N60</f>
      </c>
      <c r="O82" s="158">
        <f>O16-O18-O20-O26-O37-O44-O47-O58-O60</f>
      </c>
      <c r="P82" s="1"/>
      <c r="Q82" s="1"/>
      <c r="R82" s="1"/>
      <c r="S82" s="1"/>
      <c r="T82" s="1"/>
    </row>
    <row r="83">
      <c r="A83" s="1"/>
      <c r="B83" s="1"/>
      <c r="C83" s="119">
        <f>C10-C11-C12-C13-C15</f>
      </c>
      <c r="D83" s="119">
        <f>D10-D11-D12-D13-D15</f>
      </c>
      <c r="E83" s="119">
        <f>E10-E11-E12-E13-E15</f>
      </c>
      <c r="F83" s="119">
        <f>F10-F11-F12-F13-F15</f>
      </c>
      <c r="G83" s="119">
        <f>G10-G11-G12-G13-G15</f>
      </c>
      <c r="H83" s="119">
        <f>H10-H11-H12-H13-H15</f>
      </c>
      <c r="I83" s="119">
        <f>I10-I11-I12-I13-I15</f>
      </c>
      <c r="J83" s="119">
        <f>J10-J11-J12-J13-J15</f>
      </c>
      <c r="K83" s="119">
        <f>K10-K11-K12-K13-K15</f>
      </c>
      <c r="L83" s="119">
        <f>L10-L11-L12-L13-L15</f>
      </c>
      <c r="M83" s="119">
        <f>M10-M11-M12-M13-M15</f>
      </c>
      <c r="N83" s="119">
        <f>N10-N11-N12-N13-N15</f>
      </c>
      <c r="O83" s="119">
        <f>O10-O11-O12-O13-O15</f>
      </c>
      <c r="P83" s="1"/>
      <c r="Q83" s="1"/>
      <c r="R83" s="1"/>
      <c r="S83" s="1"/>
      <c r="T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>
      <c r="A93" s="1"/>
      <c r="B93" s="1" t="str">
        <v>分摊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>
      <c r="A94" s="1"/>
      <c r="B94" s="85" t="str">
        <v>品牌及内容费用</v>
      </c>
      <c r="C94" s="127">
        <f>SUM(C95:C99)</f>
      </c>
      <c r="D94" s="127">
        <f>SUM(D95:D99)</f>
      </c>
      <c r="E94" s="127">
        <f>SUM(E95:E99)</f>
      </c>
      <c r="F94" s="127">
        <f>SUM(F95:F99)</f>
      </c>
      <c r="G94" s="127">
        <f>SUM(G95:G99)</f>
      </c>
      <c r="H94" s="127">
        <f>SUM(H95:H99)</f>
      </c>
      <c r="I94" s="127">
        <f>SUM(I95:I99)</f>
      </c>
      <c r="J94" s="127">
        <f>SUM(J95:J99)</f>
      </c>
      <c r="K94" s="127">
        <f>SUM(K95:K99)</f>
      </c>
      <c r="L94" s="127">
        <f>SUM(L95:L99)</f>
      </c>
      <c r="M94" s="127">
        <f>SUM(M95:M99)</f>
      </c>
      <c r="N94" s="127">
        <f>SUM(N95:N99)</f>
      </c>
      <c r="O94" s="1"/>
      <c r="P94" s="1"/>
      <c r="Q94" s="1"/>
      <c r="R94" s="1"/>
      <c r="S94" s="1"/>
      <c r="T94" s="1"/>
    </row>
    <row r="95">
      <c r="A95" s="1"/>
      <c r="B95" s="90" t="str">
        <v>展会</v>
      </c>
      <c r="C95" s="170">
        <f>'线下门店-小计'!C27*(C15/('26年全渠道汇总'!C15-'线下门店-小计'!C15))</f>
      </c>
      <c r="D95" s="170">
        <f>'线下门店-小计'!D27*(D15/('26年全渠道汇总'!D15-'线下门店-小计'!D15))</f>
      </c>
      <c r="E95" s="170">
        <f>'线下门店-小计'!E27*(E15/('26年全渠道汇总'!E15-'线下门店-小计'!E15))</f>
      </c>
      <c r="F95" s="170">
        <f>'线下门店-小计'!F27*(F15/('26年全渠道汇总'!F15-'线下门店-小计'!F15))</f>
      </c>
      <c r="G95" s="170">
        <f>'线下门店-小计'!G27*(G15/('26年全渠道汇总'!G15-'线下门店-小计'!G15))</f>
      </c>
      <c r="H95" s="170">
        <f>'线下门店-小计'!H27*(H15/('26年全渠道汇总'!H15-'线下门店-小计'!H15))</f>
      </c>
      <c r="I95" s="170">
        <f>'线下门店-小计'!I27*(I15/('26年全渠道汇总'!I15-'线下门店-小计'!I15))</f>
      </c>
      <c r="J95" s="170">
        <f>'线下门店-小计'!J27*(J15/('26年全渠道汇总'!J15-'线下门店-小计'!J15))</f>
      </c>
      <c r="K95" s="170">
        <f>'线下门店-小计'!K27*(K15/('26年全渠道汇总'!K15-'线下门店-小计'!K15))</f>
      </c>
      <c r="L95" s="170">
        <f>'线下门店-小计'!L27*(L15/('26年全渠道汇总'!L15-'线下门店-小计'!L15))</f>
      </c>
      <c r="M95" s="170">
        <f>'线下门店-小计'!M27*(M15/('26年全渠道汇总'!M15-'线下门店-小计'!M15))</f>
      </c>
      <c r="N95" s="170">
        <f>'线下门店-小计'!N27*(N15/('26年全渠道汇总'!N15-'线下门店-小计'!N15))</f>
      </c>
      <c r="O95" s="1"/>
      <c r="P95" s="1"/>
      <c r="Q95" s="1"/>
      <c r="R95" s="1"/>
      <c r="S95" s="1"/>
      <c r="T95" s="1"/>
    </row>
    <row r="96">
      <c r="A96" s="1"/>
      <c r="B96" s="90" t="str">
        <v>品牌营销</v>
      </c>
      <c r="C96" s="170">
        <f>'线下门店-小计'!C28*(C15/('26年全渠道汇总'!C15-'线下门店-小计'!C15))</f>
      </c>
      <c r="D96" s="170">
        <f>'线下门店-小计'!D28*(D15/('26年全渠道汇总'!D15-'线下门店-小计'!D15))</f>
      </c>
      <c r="E96" s="170">
        <f>'线下门店-小计'!E28*(E15/('26年全渠道汇总'!E15-'线下门店-小计'!E15))</f>
      </c>
      <c r="F96" s="170">
        <f>'线下门店-小计'!F28*(F15/('26年全渠道汇总'!F15-'线下门店-小计'!F15))</f>
      </c>
      <c r="G96" s="170">
        <f>'线下门店-小计'!G28*(G15/('26年全渠道汇总'!G15-'线下门店-小计'!G15))</f>
      </c>
      <c r="H96" s="170">
        <f>'线下门店-小计'!H28*(H15/('26年全渠道汇总'!H15-'线下门店-小计'!H15))</f>
      </c>
      <c r="I96" s="170">
        <f>'线下门店-小计'!I28*(I15/('26年全渠道汇总'!I15-'线下门店-小计'!I15))</f>
      </c>
      <c r="J96" s="170">
        <f>'线下门店-小计'!J28*(J15/('26年全渠道汇总'!J15-'线下门店-小计'!J15))</f>
      </c>
      <c r="K96" s="170">
        <f>'线下门店-小计'!K28*(K15/('26年全渠道汇总'!K15-'线下门店-小计'!K15))</f>
      </c>
      <c r="L96" s="170">
        <f>'线下门店-小计'!L28*(L15/('26年全渠道汇总'!L15-'线下门店-小计'!L15))</f>
      </c>
      <c r="M96" s="170">
        <f>'线下门店-小计'!M28*(M15/('26年全渠道汇总'!M15-'线下门店-小计'!M15))</f>
      </c>
      <c r="N96" s="170">
        <f>'线下门店-小计'!N28*(N15/('26年全渠道汇总'!N15-'线下门店-小计'!N15))</f>
      </c>
      <c r="O96" s="1"/>
      <c r="P96" s="1"/>
      <c r="Q96" s="1"/>
      <c r="R96" s="1"/>
      <c r="S96" s="1"/>
      <c r="T96" s="1"/>
    </row>
    <row r="97">
      <c r="A97" s="1"/>
      <c r="B97" s="90" t="str">
        <v>内容素材制作</v>
      </c>
      <c r="C97" s="170">
        <f>'线下门店-小计'!C29*(C15/('26年全渠道汇总'!C15-'线下门店-小计'!C15))</f>
      </c>
      <c r="D97" s="170">
        <f>'线下门店-小计'!D29*(D15/('26年全渠道汇总'!D15-'线下门店-小计'!D15))</f>
      </c>
      <c r="E97" s="170">
        <f>'线下门店-小计'!E29*(E15/('26年全渠道汇总'!E15-'线下门店-小计'!E15))</f>
      </c>
      <c r="F97" s="170">
        <f>'线下门店-小计'!F29*(F15/('26年全渠道汇总'!F15-'线下门店-小计'!F15))</f>
      </c>
      <c r="G97" s="170">
        <f>'线下门店-小计'!G29*(G15/('26年全渠道汇总'!G15-'线下门店-小计'!G15))</f>
      </c>
      <c r="H97" s="170">
        <f>'线下门店-小计'!H29*(H15/('26年全渠道汇总'!H15-'线下门店-小计'!H15))</f>
      </c>
      <c r="I97" s="170">
        <f>'线下门店-小计'!I29*(I15/('26年全渠道汇总'!I15-'线下门店-小计'!I15))</f>
      </c>
      <c r="J97" s="170">
        <f>'线下门店-小计'!J29*(J15/('26年全渠道汇总'!J15-'线下门店-小计'!J15))</f>
      </c>
      <c r="K97" s="170">
        <f>'线下门店-小计'!K29*(K15/('26年全渠道汇总'!K15-'线下门店-小计'!K15))</f>
      </c>
      <c r="L97" s="170">
        <f>'线下门店-小计'!L29*(L15/('26年全渠道汇总'!L15-'线下门店-小计'!L15))</f>
      </c>
      <c r="M97" s="170">
        <f>'线下门店-小计'!M29*(M15/('26年全渠道汇总'!M15-'线下门店-小计'!M15))</f>
      </c>
      <c r="N97" s="170">
        <f>'线下门店-小计'!N29*(N15/('26年全渠道汇总'!N15-'线下门店-小计'!N15))</f>
      </c>
      <c r="O97" s="1"/>
      <c r="P97" s="1"/>
      <c r="Q97" s="1"/>
      <c r="R97" s="1"/>
      <c r="S97" s="1"/>
      <c r="T97" s="1"/>
    </row>
    <row r="98">
      <c r="A98" s="1"/>
      <c r="B98" s="90" t="str">
        <v>公关费用</v>
      </c>
      <c r="C98" s="170">
        <f>'线下门店-小计'!C30*(C15/('26年全渠道汇总'!C15-'线下门店-小计'!C15))</f>
      </c>
      <c r="D98" s="170">
        <f>'线下门店-小计'!D30*(D15/('26年全渠道汇总'!D15-'线下门店-小计'!D15))</f>
      </c>
      <c r="E98" s="170">
        <f>'线下门店-小计'!E30*(E15/('26年全渠道汇总'!E15-'线下门店-小计'!E15))</f>
      </c>
      <c r="F98" s="170">
        <f>'线下门店-小计'!F30*(F15/('26年全渠道汇总'!F15-'线下门店-小计'!F15))</f>
      </c>
      <c r="G98" s="170">
        <f>'线下门店-小计'!G30*(G15/('26年全渠道汇总'!G15-'线下门店-小计'!G15))</f>
      </c>
      <c r="H98" s="170">
        <f>'线下门店-小计'!H30*(H15/('26年全渠道汇总'!H15-'线下门店-小计'!H15))</f>
      </c>
      <c r="I98" s="170">
        <f>'线下门店-小计'!I30*(I15/('26年全渠道汇总'!I15-'线下门店-小计'!I15))</f>
      </c>
      <c r="J98" s="170">
        <f>'线下门店-小计'!J30*(J15/('26年全渠道汇总'!J15-'线下门店-小计'!J15))</f>
      </c>
      <c r="K98" s="170">
        <f>'线下门店-小计'!K30*(K15/('26年全渠道汇总'!K15-'线下门店-小计'!K15))</f>
      </c>
      <c r="L98" s="170">
        <f>'线下门店-小计'!L30*(L15/('26年全渠道汇总'!L15-'线下门店-小计'!L15))</f>
      </c>
      <c r="M98" s="170">
        <f>'线下门店-小计'!M30*(M15/('26年全渠道汇总'!M15-'线下门店-小计'!M15))</f>
      </c>
      <c r="N98" s="170">
        <f>'线下门店-小计'!N30*(N15/('26年全渠道汇总'!N15-'线下门店-小计'!N15))</f>
      </c>
      <c r="O98" s="1"/>
      <c r="P98" s="1"/>
      <c r="Q98" s="1"/>
      <c r="R98" s="1"/>
      <c r="S98" s="1"/>
      <c r="T98" s="1"/>
    </row>
    <row r="99">
      <c r="A99" s="1"/>
      <c r="B99" s="90" t="str">
        <v>达人种草、样机及加热</v>
      </c>
      <c r="C99" s="170">
        <f>'线下门店-小计'!C31*(C15/('26年全渠道汇总'!C15-'线下门店-小计'!C15))</f>
      </c>
      <c r="D99" s="170">
        <f>'线下门店-小计'!D31*(D15/('26年全渠道汇总'!D15-'线下门店-小计'!D15))</f>
      </c>
      <c r="E99" s="170">
        <f>'线下门店-小计'!E31*(E15/('26年全渠道汇总'!E15-'线下门店-小计'!E15))</f>
      </c>
      <c r="F99" s="170">
        <f>'线下门店-小计'!F31*(F15/('26年全渠道汇总'!F15-'线下门店-小计'!F15))</f>
      </c>
      <c r="G99" s="170">
        <f>'线下门店-小计'!G31*(G15/('26年全渠道汇总'!G15-'线下门店-小计'!G15))</f>
      </c>
      <c r="H99" s="170">
        <f>'线下门店-小计'!H31*(H15/('26年全渠道汇总'!H15-'线下门店-小计'!H15))</f>
      </c>
      <c r="I99" s="170">
        <f>'线下门店-小计'!I31*(I15/('26年全渠道汇总'!I15-'线下门店-小计'!I15))</f>
      </c>
      <c r="J99" s="170">
        <f>'线下门店-小计'!J31*(J15/('26年全渠道汇总'!J15-'线下门店-小计'!J15))</f>
      </c>
      <c r="K99" s="170">
        <f>'线下门店-小计'!K31*(K15/('26年全渠道汇总'!K15-'线下门店-小计'!K15))</f>
      </c>
      <c r="L99" s="170">
        <f>'线下门店-小计'!L31*(L15/('26年全渠道汇总'!L15-'线下门店-小计'!L15))</f>
      </c>
      <c r="M99" s="170">
        <f>'线下门店-小计'!M31*(M15/('26年全渠道汇总'!M15-'线下门店-小计'!M15))</f>
      </c>
      <c r="N99" s="170">
        <f>'线下门店-小计'!N31*(N15/('26年全渠道汇总'!N15-'线下门店-小计'!N15))</f>
      </c>
      <c r="O99" s="1"/>
      <c r="P99" s="1"/>
      <c r="Q99" s="1"/>
      <c r="R99" s="1"/>
      <c r="S99" s="1"/>
      <c r="T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>
      <c r="A101" s="1"/>
      <c r="B101" s="1" t="str">
        <v>总计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>
      <c r="A102" s="1"/>
      <c r="B102" s="85" t="str">
        <v>品牌及内容费用</v>
      </c>
      <c r="C102" s="127">
        <f>SUM(C103:C107)</f>
      </c>
      <c r="D102" s="127">
        <f>SUM(D103:D107)</f>
      </c>
      <c r="E102" s="127">
        <f>SUM(E103:E107)</f>
      </c>
      <c r="F102" s="127">
        <f>SUM(F103:F107)</f>
      </c>
      <c r="G102" s="127">
        <f>SUM(G103:G107)</f>
      </c>
      <c r="H102" s="127">
        <f>SUM(H103:H107)</f>
      </c>
      <c r="I102" s="127">
        <f>SUM(I103:I107)</f>
      </c>
      <c r="J102" s="127">
        <f>SUM(J103:J107)</f>
      </c>
      <c r="K102" s="127">
        <f>SUM(K103:K107)</f>
      </c>
      <c r="L102" s="127">
        <f>SUM(L103:L107)</f>
      </c>
      <c r="M102" s="127">
        <f>SUM(M103:M107)</f>
      </c>
      <c r="N102" s="127">
        <f>SUM(N103:N107)</f>
      </c>
      <c r="O102" s="1"/>
      <c r="P102" s="1"/>
      <c r="Q102" s="1"/>
      <c r="R102" s="1"/>
      <c r="S102" s="1"/>
      <c r="T102" s="1"/>
    </row>
    <row r="103">
      <c r="A103" s="1"/>
      <c r="B103" s="90" t="str">
        <v>展会</v>
      </c>
      <c r="C103" s="170">
        <f>C95+C27</f>
      </c>
      <c r="D103" s="170">
        <f>D95+D27</f>
      </c>
      <c r="E103" s="170">
        <f>E95+E27</f>
      </c>
      <c r="F103" s="170">
        <f>F95+F27</f>
      </c>
      <c r="G103" s="170">
        <f>G95+G27</f>
      </c>
      <c r="H103" s="170">
        <f>H95+H27</f>
      </c>
      <c r="I103" s="170">
        <f>I95+I27</f>
      </c>
      <c r="J103" s="170">
        <f>J95+J27</f>
      </c>
      <c r="K103" s="170">
        <f>K95+K27</f>
      </c>
      <c r="L103" s="170">
        <f>L95+L27</f>
      </c>
      <c r="M103" s="170">
        <f>M95+M27</f>
      </c>
      <c r="N103" s="170">
        <f>N95+N27</f>
      </c>
      <c r="O103" s="1"/>
      <c r="P103" s="1"/>
      <c r="Q103" s="1"/>
      <c r="R103" s="1"/>
      <c r="S103" s="1"/>
      <c r="T103" s="1"/>
    </row>
    <row r="104">
      <c r="A104" s="1"/>
      <c r="B104" s="90" t="str">
        <v>品牌营销</v>
      </c>
      <c r="C104" s="170">
        <f>C96+C28</f>
      </c>
      <c r="D104" s="170">
        <f>D96+D28</f>
      </c>
      <c r="E104" s="170">
        <f>E96+E28</f>
      </c>
      <c r="F104" s="170">
        <f>F96+F28</f>
      </c>
      <c r="G104" s="170">
        <f>G96+G28</f>
      </c>
      <c r="H104" s="170">
        <f>H96+H28</f>
      </c>
      <c r="I104" s="170">
        <f>I96+I28</f>
      </c>
      <c r="J104" s="170">
        <f>J96+J28</f>
      </c>
      <c r="K104" s="170">
        <f>K96+K28</f>
      </c>
      <c r="L104" s="170">
        <f>L96+L28</f>
      </c>
      <c r="M104" s="170">
        <f>M96+M28</f>
      </c>
      <c r="N104" s="170">
        <f>N96+N28</f>
      </c>
      <c r="O104" s="1"/>
      <c r="P104" s="1"/>
      <c r="Q104" s="1"/>
      <c r="R104" s="1"/>
      <c r="S104" s="1"/>
      <c r="T104" s="1"/>
    </row>
    <row r="105">
      <c r="A105" s="1"/>
      <c r="B105" s="90" t="str">
        <v>内容素材制作</v>
      </c>
      <c r="C105" s="170">
        <f>C97+C29</f>
      </c>
      <c r="D105" s="170">
        <f>D97+D29</f>
      </c>
      <c r="E105" s="170">
        <f>E97+E29</f>
      </c>
      <c r="F105" s="170">
        <f>F97+F29</f>
      </c>
      <c r="G105" s="170">
        <f>G97+G29</f>
      </c>
      <c r="H105" s="170">
        <f>H97+H29</f>
      </c>
      <c r="I105" s="170">
        <f>I97+I29</f>
      </c>
      <c r="J105" s="170">
        <f>J97+J29</f>
      </c>
      <c r="K105" s="170">
        <f>K97+K29</f>
      </c>
      <c r="L105" s="170">
        <f>L97+L29</f>
      </c>
      <c r="M105" s="170">
        <f>M97+M29</f>
      </c>
      <c r="N105" s="170">
        <f>N97+N29</f>
      </c>
      <c r="O105" s="1"/>
      <c r="P105" s="1"/>
      <c r="Q105" s="1"/>
      <c r="R105" s="1"/>
      <c r="S105" s="1"/>
      <c r="T105" s="1"/>
    </row>
    <row r="106">
      <c r="A106" s="1"/>
      <c r="B106" s="90" t="str">
        <v>公关费用</v>
      </c>
      <c r="C106" s="170">
        <f>C98+C30</f>
      </c>
      <c r="D106" s="170">
        <f>D98+D30</f>
      </c>
      <c r="E106" s="170">
        <f>E98+E30</f>
      </c>
      <c r="F106" s="170">
        <f>F98+F30</f>
      </c>
      <c r="G106" s="170">
        <f>G98+G30</f>
      </c>
      <c r="H106" s="170">
        <f>H98+H30</f>
      </c>
      <c r="I106" s="170">
        <f>I98+I30</f>
      </c>
      <c r="J106" s="170">
        <f>J98+J30</f>
      </c>
      <c r="K106" s="170">
        <f>K98+K30</f>
      </c>
      <c r="L106" s="170">
        <f>L98+L30</f>
      </c>
      <c r="M106" s="170">
        <f>M98+M30</f>
      </c>
      <c r="N106" s="170">
        <f>N98+N30</f>
      </c>
      <c r="O106" s="1"/>
      <c r="P106" s="1"/>
      <c r="Q106" s="1"/>
      <c r="R106" s="1"/>
      <c r="S106" s="1"/>
      <c r="T106" s="1"/>
    </row>
    <row r="107">
      <c r="A107" s="1"/>
      <c r="B107" s="90" t="str">
        <v>达人种草、样机及加热</v>
      </c>
      <c r="C107" s="170">
        <f>C99+C31</f>
      </c>
      <c r="D107" s="170">
        <f>D99+D31</f>
      </c>
      <c r="E107" s="170">
        <f>E99+E31</f>
      </c>
      <c r="F107" s="170">
        <f>F99+F31</f>
      </c>
      <c r="G107" s="170">
        <f>G99+G31</f>
      </c>
      <c r="H107" s="170">
        <f>H99+H31</f>
      </c>
      <c r="I107" s="170">
        <f>I99+I31</f>
      </c>
      <c r="J107" s="170">
        <f>J99+J31</f>
      </c>
      <c r="K107" s="170">
        <f>K99+K31</f>
      </c>
      <c r="L107" s="170">
        <f>L99+L31</f>
      </c>
      <c r="M107" s="170">
        <f>M99+M31</f>
      </c>
      <c r="N107" s="170">
        <f>N99+N31</f>
      </c>
      <c r="O107" s="1"/>
      <c r="P107" s="1"/>
      <c r="Q107" s="1"/>
      <c r="R107" s="1"/>
      <c r="S107" s="1"/>
      <c r="T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</sheetData>
  <picture r:id="rId1"/>
</worksheet>
</file>

<file path=xl/worksheets/sheet17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tabColor rgb="FF34c724"/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</row>
    <row r="2">
      <c r="B2" s="90" t="str">
        <v>退后销量</v>
      </c>
      <c r="C2" s="88">
        <f>'京东POP财经口径'!C2+'京东自营财经口径'!C2</f>
      </c>
      <c r="D2" s="88">
        <f>'京东POP财经口径'!D2+'京东自营财经口径'!D2</f>
      </c>
      <c r="E2" s="88">
        <f>'京东POP财经口径'!E2+'京东自营财经口径'!E2</f>
      </c>
      <c r="F2" s="88">
        <f>'京东POP财经口径'!F2+'京东自营财经口径'!F2</f>
      </c>
      <c r="G2" s="88">
        <f>'京东POP财经口径'!G2+'京东自营财经口径'!G2</f>
      </c>
      <c r="H2" s="88">
        <f>'京东POP财经口径'!H2+'京东自营财经口径'!H2</f>
      </c>
      <c r="I2" s="88">
        <f>'京东POP财经口径'!I2+'京东自营财经口径'!I2</f>
      </c>
      <c r="J2" s="88">
        <f>'京东POP财经口径'!J2+'京东自营财经口径'!J2</f>
      </c>
      <c r="K2" s="88">
        <f>'京东POP财经口径'!K2+'京东自营财经口径'!K2</f>
      </c>
      <c r="L2" s="88">
        <f>'京东POP财经口径'!L2+'京东自营财经口径'!L2</f>
      </c>
      <c r="M2" s="88">
        <f>'京东POP财经口径'!M2+'京东自营财经口径'!M2</f>
      </c>
      <c r="N2" s="88">
        <f>'京东POP财经口径'!N2+'京东自营财经口径'!N2</f>
      </c>
      <c r="O2" s="88">
        <f>SUM(C2:N2)</f>
      </c>
      <c r="P2" s="88"/>
      <c r="Q2" s="1"/>
    </row>
    <row r="3">
      <c r="A3" s="97"/>
      <c r="B3" s="94" t="str">
        <v>自补前GMV</v>
      </c>
      <c r="C3" s="93">
        <f>'京东POP财经口径'!C3+'京东自营财经口径'!C3</f>
      </c>
      <c r="D3" s="93">
        <f>'京东POP财经口径'!D3+'京东自营财经口径'!D3</f>
      </c>
      <c r="E3" s="93">
        <f>'京东POP财经口径'!E3+'京东自营财经口径'!E3</f>
      </c>
      <c r="F3" s="93">
        <f>'京东POP财经口径'!F3+'京东自营财经口径'!F3</f>
      </c>
      <c r="G3" s="93">
        <f>'京东POP财经口径'!G3+'京东自营财经口径'!G3</f>
      </c>
      <c r="H3" s="93">
        <f>'京东POP财经口径'!H3+'京东自营财经口径'!H3</f>
      </c>
      <c r="I3" s="93">
        <f>'京东POP财经口径'!I3+'京东自营财经口径'!I3</f>
      </c>
      <c r="J3" s="93">
        <f>'京东POP财经口径'!J3+'京东自营财经口径'!J3</f>
      </c>
      <c r="K3" s="93">
        <f>'京东POP财经口径'!K3+'京东自营财经口径'!K3</f>
      </c>
      <c r="L3" s="93">
        <f>'京东POP财经口径'!L3+'京东自营财经口径'!L3</f>
      </c>
      <c r="M3" s="93">
        <f>'京东POP财经口径'!M3+'京东自营财经口径'!M3</f>
      </c>
      <c r="N3" s="93">
        <f>'京东POP财经口径'!N3+'京东自营财经口径'!N3</f>
      </c>
      <c r="O3" s="93">
        <f>SUM(C3:N3)</f>
      </c>
      <c r="P3" s="93"/>
      <c r="Q3" s="146" t="str">
        <v>渠道填写</v>
      </c>
    </row>
    <row r="4">
      <c r="A4" s="97"/>
      <c r="B4" s="94" t="str">
        <v>自补前GSV</v>
      </c>
      <c r="C4" s="93">
        <f>'京东POP财经口径'!C4+'京东自营财经口径'!C4</f>
      </c>
      <c r="D4" s="93">
        <f>'京东POP财经口径'!D4+'京东自营财经口径'!D4</f>
      </c>
      <c r="E4" s="93">
        <f>'京东POP财经口径'!E4+'京东自营财经口径'!E4</f>
      </c>
      <c r="F4" s="93">
        <f>'京东POP财经口径'!F4+'京东自营财经口径'!F4</f>
      </c>
      <c r="G4" s="93">
        <f>'京东POP财经口径'!G4+'京东自营财经口径'!G4</f>
      </c>
      <c r="H4" s="93">
        <f>'京东POP财经口径'!H4+'京东自营财经口径'!H4</f>
      </c>
      <c r="I4" s="93">
        <f>'京东POP财经口径'!I4+'京东自营财经口径'!I4</f>
      </c>
      <c r="J4" s="93">
        <f>'京东POP财经口径'!J4+'京东自营财经口径'!J4</f>
      </c>
      <c r="K4" s="93">
        <f>'京东POP财经口径'!K4+'京东自营财经口径'!K4</f>
      </c>
      <c r="L4" s="93">
        <f>'京东POP财经口径'!L4+'京东自营财经口径'!L4</f>
      </c>
      <c r="M4" s="93">
        <f>'京东POP财经口径'!M4+'京东自营财经口径'!M4</f>
      </c>
      <c r="N4" s="93">
        <f>'京东POP财经口径'!N4+'京东自营财经口径'!N4</f>
      </c>
      <c r="O4" s="93">
        <f>SUM(C4:N4)</f>
      </c>
      <c r="P4" s="93"/>
      <c r="Q4" s="146" t="str">
        <v>渠道填写</v>
      </c>
    </row>
    <row r="5">
      <c r="A5" s="97"/>
      <c r="B5" s="94" t="str">
        <v>国补自补费用</v>
      </c>
      <c r="C5" s="93">
        <f>'京东POP财经口径'!C5+'京东自营财经口径'!C5</f>
      </c>
      <c r="D5" s="93">
        <f>'京东POP财经口径'!D5+'京东自营财经口径'!D5</f>
      </c>
      <c r="E5" s="93">
        <f>'京东POP财经口径'!E5+'京东自营财经口径'!E5</f>
      </c>
      <c r="F5" s="93">
        <f>'京东POP财经口径'!F5+'京东自营财经口径'!F5</f>
      </c>
      <c r="G5" s="93">
        <f>'京东POP财经口径'!G5+'京东自营财经口径'!G5</f>
      </c>
      <c r="H5" s="93">
        <f>'京东POP财经口径'!H5+'京东自营财经口径'!H5</f>
      </c>
      <c r="I5" s="93">
        <f>'京东POP财经口径'!I5+'京东自营财经口径'!I5</f>
      </c>
      <c r="J5" s="93">
        <f>'京东POP财经口径'!J5+'京东自营财经口径'!J5</f>
      </c>
      <c r="K5" s="93">
        <f>'京东POP财经口径'!K5+'京东自营财经口径'!K5</f>
      </c>
      <c r="L5" s="93">
        <f>'京东POP财经口径'!L5+'京东自营财经口径'!L5</f>
      </c>
      <c r="M5" s="93">
        <f>'京东POP财经口径'!M5+'京东自营财经口径'!M5</f>
      </c>
      <c r="N5" s="93">
        <f>'京东POP财经口径'!N5+'京东自营财经口径'!N5</f>
      </c>
      <c r="O5" s="93">
        <f>SUM(C5:N5)</f>
      </c>
      <c r="P5" s="93"/>
      <c r="Q5" s="126" t="str">
        <v>渠道填写</v>
      </c>
    </row>
    <row r="6">
      <c r="A6" s="97"/>
      <c r="B6" s="98" t="str">
        <v>GMV（国补后）</v>
      </c>
      <c r="C6" s="95">
        <f>'京东POP财经口径'!C6+'京东自营财经口径'!C6</f>
      </c>
      <c r="D6" s="95">
        <f>'京东POP财经口径'!D6+'京东自营财经口径'!D6</f>
      </c>
      <c r="E6" s="95">
        <f>'京东POP财经口径'!E6+'京东自营财经口径'!E6</f>
      </c>
      <c r="F6" s="95">
        <f>'京东POP财经口径'!F6+'京东自营财经口径'!F6</f>
      </c>
      <c r="G6" s="95">
        <f>'京东POP财经口径'!G6+'京东自营财经口径'!G6</f>
      </c>
      <c r="H6" s="95">
        <f>'京东POP财经口径'!H6+'京东自营财经口径'!H6</f>
      </c>
      <c r="I6" s="95">
        <f>'京东POP财经口径'!I6+'京东自营财经口径'!I6</f>
      </c>
      <c r="J6" s="95">
        <f>'京东POP财经口径'!J6+'京东自营财经口径'!J6</f>
      </c>
      <c r="K6" s="95">
        <f>'京东POP财经口径'!K6+'京东自营财经口径'!K6</f>
      </c>
      <c r="L6" s="95">
        <f>'京东POP财经口径'!L6+'京东自营财经口径'!L6</f>
      </c>
      <c r="M6" s="95">
        <f>'京东POP财经口径'!M6+'京东自营财经口径'!M6</f>
      </c>
      <c r="N6" s="95">
        <f>'京东POP财经口径'!N6+'京东自营财经口径'!N6</f>
      </c>
      <c r="O6" s="95">
        <f>SUM(C6:N6)</f>
      </c>
      <c r="P6" s="95"/>
      <c r="Q6" s="126" t="str">
        <v>渠道填写</v>
      </c>
    </row>
    <row r="7">
      <c r="A7" s="97"/>
      <c r="B7" s="102" t="str">
        <v>退货率（发货前+后）</v>
      </c>
      <c r="C7" s="103">
        <f>1-C8/C6</f>
      </c>
      <c r="D7" s="103">
        <f>1-D8/D6</f>
      </c>
      <c r="E7" s="103">
        <f>1-E8/E6</f>
      </c>
      <c r="F7" s="103">
        <f>1-F8/F6</f>
      </c>
      <c r="G7" s="103">
        <f>1-G8/G6</f>
      </c>
      <c r="H7" s="103">
        <f>1-H8/H6</f>
      </c>
      <c r="I7" s="103">
        <f>1-I8/I6</f>
      </c>
      <c r="J7" s="103">
        <f>1-J8/J6</f>
      </c>
      <c r="K7" s="103">
        <f>1-K8/K6</f>
      </c>
      <c r="L7" s="103">
        <f>1-L8/L6</f>
      </c>
      <c r="M7" s="103">
        <f>1-M8/M6</f>
      </c>
      <c r="N7" s="103">
        <f>1-N8/N6</f>
      </c>
      <c r="O7" s="103">
        <f>1-O8/O6</f>
      </c>
      <c r="P7" s="103"/>
      <c r="Q7" s="1" t="str">
        <v>渠道填写</v>
      </c>
    </row>
    <row r="8">
      <c r="A8" s="97"/>
      <c r="B8" s="98" t="str">
        <v>GSV（国补后）</v>
      </c>
      <c r="C8" s="95">
        <f>'京东POP财经口径'!C8+'京东自营财经口径'!C8</f>
      </c>
      <c r="D8" s="95">
        <f>'京东POP财经口径'!D8+'京东自营财经口径'!D8</f>
      </c>
      <c r="E8" s="95">
        <f>'京东POP财经口径'!E8+'京东自营财经口径'!E8</f>
      </c>
      <c r="F8" s="95">
        <f>'京东POP财经口径'!F8+'京东自营财经口径'!F8</f>
      </c>
      <c r="G8" s="95">
        <f>'京东POP财经口径'!G8+'京东自营财经口径'!G8</f>
      </c>
      <c r="H8" s="95">
        <f>'京东POP财经口径'!H8+'京东自营财经口径'!H8</f>
      </c>
      <c r="I8" s="95">
        <f>'京东POP财经口径'!I8+'京东自营财经口径'!I8</f>
      </c>
      <c r="J8" s="95">
        <f>'京东POP财经口径'!J8+'京东自营财经口径'!J8</f>
      </c>
      <c r="K8" s="95">
        <f>'京东POP财经口径'!K8+'京东自营财经口径'!K8</f>
      </c>
      <c r="L8" s="95">
        <f>'京东POP财经口径'!L8+'京东自营财经口径'!L8</f>
      </c>
      <c r="M8" s="95">
        <f>'京东POP财经口径'!M8+'京东自营财经口径'!M8</f>
      </c>
      <c r="N8" s="95">
        <f>'京东POP财经口径'!N8+'京东自营财经口径'!N8</f>
      </c>
      <c r="O8" s="95">
        <f>SUM(C8:N8)</f>
      </c>
      <c r="P8" s="95"/>
      <c r="Q8" s="1" t="str">
        <v>渠道填写</v>
      </c>
    </row>
    <row r="9">
      <c r="B9" s="90"/>
      <c r="C9" s="88">
        <f>'京东POP财经口径'!C9+'京东自营财经口径'!C9</f>
      </c>
      <c r="D9" s="88">
        <f>'京东POP财经口径'!D9+'京东自营财经口径'!D9</f>
      </c>
      <c r="E9" s="88">
        <f>'京东POP财经口径'!E9+'京东自营财经口径'!E9</f>
      </c>
      <c r="F9" s="88">
        <f>'京东POP财经口径'!F9+'京东自营财经口径'!F9</f>
      </c>
      <c r="G9" s="88">
        <f>'京东POP财经口径'!G9+'京东自营财经口径'!G9</f>
      </c>
      <c r="H9" s="88">
        <f>'京东POP财经口径'!H9+'京东自营财经口径'!H9</f>
      </c>
      <c r="I9" s="88">
        <f>'京东POP财经口径'!I9+'京东自营财经口径'!I9</f>
      </c>
      <c r="J9" s="88">
        <f>'京东POP财经口径'!J9+'京东自营财经口径'!J9</f>
      </c>
      <c r="K9" s="88">
        <f>'京东POP财经口径'!K9+'京东自营财经口径'!K9</f>
      </c>
      <c r="L9" s="88">
        <f>'京东POP财经口径'!L9+'京东自营财经口径'!L9</f>
      </c>
      <c r="M9" s="88">
        <f>'京东POP财经口径'!M9+'京东自营财经口径'!M9</f>
      </c>
      <c r="N9" s="88">
        <f>'京东POP财经口径'!N9+'京东自营财经口径'!N9</f>
      </c>
      <c r="O9" s="88">
        <f>O8+O14-O10</f>
      </c>
      <c r="P9" s="88"/>
      <c r="Q9" s="1"/>
    </row>
    <row r="10">
      <c r="A10" s="97"/>
      <c r="B10" s="98" t="str">
        <v>零售价（去除退货后的）</v>
      </c>
      <c r="C10" s="95">
        <f>'京东POP财经口径'!C10+'京东自营财经口径'!C10</f>
      </c>
      <c r="D10" s="95">
        <f>'京东POP财经口径'!D10+'京东自营财经口径'!D10</f>
      </c>
      <c r="E10" s="95">
        <f>'京东POP财经口径'!E10+'京东自营财经口径'!E10</f>
      </c>
      <c r="F10" s="95">
        <f>'京东POP财经口径'!F10+'京东自营财经口径'!F10</f>
      </c>
      <c r="G10" s="95">
        <f>'京东POP财经口径'!G10+'京东自营财经口径'!G10</f>
      </c>
      <c r="H10" s="95">
        <f>'京东POP财经口径'!H10+'京东自营财经口径'!H10</f>
      </c>
      <c r="I10" s="95">
        <f>'京东POP财经口径'!I10+'京东自营财经口径'!I10</f>
      </c>
      <c r="J10" s="95">
        <f>'京东POP财经口径'!J10+'京东自营财经口径'!J10</f>
      </c>
      <c r="K10" s="95">
        <f>'京东POP财经口径'!K10+'京东自营财经口径'!K10</f>
      </c>
      <c r="L10" s="95">
        <f>'京东POP财经口径'!L10+'京东自营财经口径'!L10</f>
      </c>
      <c r="M10" s="95">
        <f>'京东POP财经口径'!M10+'京东自营财经口径'!M10</f>
      </c>
      <c r="N10" s="95">
        <f>'京东POP财经口径'!N10+'京东自营财经口径'!N10</f>
      </c>
      <c r="O10" s="95">
        <f>SUM(C10:N10)</f>
      </c>
      <c r="P10" s="95"/>
      <c r="Q10" s="1"/>
    </row>
    <row r="11">
      <c r="B11" s="85" t="str">
        <v>合同折扣及返利 (线下）</v>
      </c>
      <c r="C11" s="84">
        <f>'京东POP财经口径'!C11+'京东自营财经口径'!C11</f>
      </c>
      <c r="D11" s="84">
        <f>'京东POP财经口径'!D11+'京东自营财经口径'!D11</f>
      </c>
      <c r="E11" s="84">
        <f>'京东POP财经口径'!E11+'京东自营财经口径'!E11</f>
      </c>
      <c r="F11" s="84">
        <f>'京东POP财经口径'!F11+'京东自营财经口径'!F11</f>
      </c>
      <c r="G11" s="84">
        <f>'京东POP财经口径'!G11+'京东自营财经口径'!G11</f>
      </c>
      <c r="H11" s="84">
        <f>'京东POP财经口径'!H11+'京东自营财经口径'!H11</f>
      </c>
      <c r="I11" s="84">
        <f>'京东POP财经口径'!I11+'京东自营财经口径'!I11</f>
      </c>
      <c r="J11" s="84">
        <f>'京东POP财经口径'!J11+'京东自营财经口径'!J11</f>
      </c>
      <c r="K11" s="84">
        <f>'京东POP财经口径'!K11+'京东自营财经口径'!K11</f>
      </c>
      <c r="L11" s="84">
        <f>'京东POP财经口径'!L11+'京东自营财经口径'!L11</f>
      </c>
      <c r="M11" s="84">
        <f>'京东POP财经口径'!M11+'京东自营财经口径'!M11</f>
      </c>
      <c r="N11" s="84">
        <f>'京东POP财经口径'!N11+'京东自营财经口径'!N11</f>
      </c>
      <c r="O11" s="84">
        <f>SUM(C11:N11)</f>
      </c>
      <c r="P11" s="84"/>
      <c r="Q11" s="1" t="str">
        <v>线下渠道填写</v>
      </c>
    </row>
    <row r="12">
      <c r="B12" s="85" t="str">
        <v>国补自补 （线上）</v>
      </c>
      <c r="C12" s="84">
        <f>'京东POP财经口径'!C12+'京东自营财经口径'!C12</f>
      </c>
      <c r="D12" s="84">
        <f>'京东POP财经口径'!D12+'京东自营财经口径'!D12</f>
      </c>
      <c r="E12" s="84">
        <f>'京东POP财经口径'!E12+'京东自营财经口径'!E12</f>
      </c>
      <c r="F12" s="84">
        <f>'京东POP财经口径'!F12+'京东自营财经口径'!F12</f>
      </c>
      <c r="G12" s="84">
        <f>'京东POP财经口径'!G12+'京东自营财经口径'!G12</f>
      </c>
      <c r="H12" s="84">
        <f>'京东POP财经口径'!H12+'京东自营财经口径'!H12</f>
      </c>
      <c r="I12" s="84">
        <f>'京东POP财经口径'!I12+'京东自营财经口径'!I12</f>
      </c>
      <c r="J12" s="84">
        <f>'京东POP财经口径'!J12+'京东自营财经口径'!J12</f>
      </c>
      <c r="K12" s="84">
        <f>'京东POP财经口径'!K12+'京东自营财经口径'!K12</f>
      </c>
      <c r="L12" s="84">
        <f>'京东POP财经口径'!L12+'京东自营财经口径'!L12</f>
      </c>
      <c r="M12" s="84">
        <f>'京东POP财经口径'!M12+'京东自营财经口径'!M12</f>
      </c>
      <c r="N12" s="84">
        <f>'京东POP财经口径'!N12+'京东自营财经口径'!N12</f>
      </c>
      <c r="O12" s="84">
        <f>SUM(C12:N12)</f>
      </c>
      <c r="P12" s="183">
        <v>0.15</v>
      </c>
      <c r="Q12" s="1" t="str">
        <v>渠道填写</v>
      </c>
      <c r="R12" s="54">
        <f>O12/$O$10</f>
      </c>
    </row>
    <row r="13">
      <c r="B13" s="85" t="str">
        <v>红包消费券等促销折扣</v>
      </c>
      <c r="C13" s="84">
        <f>'京东POP财经口径'!C13+'京东自营财经口径'!C13</f>
      </c>
      <c r="D13" s="84">
        <f>'京东POP财经口径'!D13+'京东自营财经口径'!D13</f>
      </c>
      <c r="E13" s="84">
        <f>'京东POP财经口径'!E13+'京东自营财经口径'!E13</f>
      </c>
      <c r="F13" s="84">
        <f>'京东POP财经口径'!F13+'京东自营财经口径'!F13</f>
      </c>
      <c r="G13" s="84">
        <f>'京东POP财经口径'!G13+'京东自营财经口径'!G13</f>
      </c>
      <c r="H13" s="84">
        <f>'京东POP财经口径'!H13+'京东自营财经口径'!H13</f>
      </c>
      <c r="I13" s="84">
        <f>'京东POP财经口径'!I13+'京东自营财经口径'!I13</f>
      </c>
      <c r="J13" s="84">
        <f>'京东POP财经口径'!J13+'京东自营财经口径'!J13</f>
      </c>
      <c r="K13" s="84">
        <f>'京东POP财经口径'!K13+'京东自营财经口径'!K13</f>
      </c>
      <c r="L13" s="84">
        <f>'京东POP财经口径'!L13+'京东自营财经口径'!L13</f>
      </c>
      <c r="M13" s="84">
        <f>'京东POP财经口径'!M13+'京东自营财经口径'!M13</f>
      </c>
      <c r="N13" s="84">
        <f>'京东POP财经口径'!N13+'京东自营财经口径'!N13</f>
      </c>
      <c r="O13" s="84">
        <f>SUM(C13:N13)</f>
      </c>
      <c r="P13" s="84"/>
      <c r="Q13" s="1" t="str">
        <v>渠道填写</v>
      </c>
      <c r="R13" s="54">
        <f>O13/$O$10</f>
      </c>
    </row>
    <row r="14">
      <c r="B14" s="83" t="str">
        <v>TTL 折扣合计</v>
      </c>
      <c r="C14" s="81">
        <f>'京东POP财经口径'!C14+'京东自营财经口径'!C14</f>
      </c>
      <c r="D14" s="81">
        <f>'京东POP财经口径'!D14+'京东自营财经口径'!D14</f>
      </c>
      <c r="E14" s="81">
        <f>'京东POP财经口径'!E14+'京东自营财经口径'!E14</f>
      </c>
      <c r="F14" s="81">
        <f>'京东POP财经口径'!F14+'京东自营财经口径'!F14</f>
      </c>
      <c r="G14" s="81">
        <f>'京东POP财经口径'!G14+'京东自营财经口径'!G14</f>
      </c>
      <c r="H14" s="81">
        <f>'京东POP财经口径'!H14+'京东自营财经口径'!H14</f>
      </c>
      <c r="I14" s="81">
        <f>'京东POP财经口径'!I14+'京东自营财经口径'!I14</f>
      </c>
      <c r="J14" s="81">
        <f>'京东POP财经口径'!J14+'京东自营财经口径'!J14</f>
      </c>
      <c r="K14" s="81">
        <f>'京东POP财经口径'!K14+'京东自营财经口径'!K14</f>
      </c>
      <c r="L14" s="81">
        <f>'京东POP财经口径'!L14+'京东自营财经口径'!L14</f>
      </c>
      <c r="M14" s="81">
        <f>'京东POP财经口径'!M14+'京东自营财经口径'!M14</f>
      </c>
      <c r="N14" s="81">
        <f>'京东POP财经口径'!N14+'京东自营财经口径'!N14</f>
      </c>
      <c r="O14" s="81">
        <f>SUM(C14:N14)</f>
      </c>
      <c r="P14" s="81"/>
      <c r="Q14" s="1"/>
    </row>
    <row r="15">
      <c r="A15" s="97"/>
      <c r="B15" s="98" t="str">
        <v>GSV</v>
      </c>
      <c r="C15" s="95">
        <f>'京东POP财经口径'!C15+'京东自营财经口径'!C15</f>
      </c>
      <c r="D15" s="95">
        <f>'京东POP财经口径'!D15+'京东自营财经口径'!D15</f>
      </c>
      <c r="E15" s="95">
        <f>'京东POP财经口径'!E15+'京东自营财经口径'!E15</f>
      </c>
      <c r="F15" s="95">
        <f>'京东POP财经口径'!F15+'京东自营财经口径'!F15</f>
      </c>
      <c r="G15" s="95">
        <f>'京东POP财经口径'!G15+'京东自营财经口径'!G15</f>
      </c>
      <c r="H15" s="95">
        <f>'京东POP财经口径'!H15+'京东自营财经口径'!H15</f>
      </c>
      <c r="I15" s="95">
        <f>'京东POP财经口径'!I15+'京东自营财经口径'!I15</f>
      </c>
      <c r="J15" s="95">
        <f>'京东POP财经口径'!J15+'京东自营财经口径'!J15</f>
      </c>
      <c r="K15" s="95">
        <f>'京东POP财经口径'!K15+'京东自营财经口径'!K15</f>
      </c>
      <c r="L15" s="95">
        <f>'京东POP财经口径'!L15+'京东自营财经口径'!L15</f>
      </c>
      <c r="M15" s="95">
        <f>'京东POP财经口径'!M15+'京东自营财经口径'!M15</f>
      </c>
      <c r="N15" s="95">
        <f>'京东POP财经口径'!N15+'京东自营财经口径'!N15</f>
      </c>
      <c r="O15" s="95">
        <f>SUM(C15:N15)</f>
      </c>
      <c r="P15" s="95"/>
      <c r="Q15" s="1"/>
    </row>
    <row r="16">
      <c r="A16" s="97"/>
      <c r="B16" s="98" t="str">
        <v>营业收入</v>
      </c>
      <c r="C16" s="95">
        <f>'京东POP财经口径'!C16+'京东自营财经口径'!C16</f>
      </c>
      <c r="D16" s="95">
        <f>'京东POP财经口径'!D16+'京东自营财经口径'!D16</f>
      </c>
      <c r="E16" s="95">
        <f>'京东POP财经口径'!E16+'京东自营财经口径'!E16</f>
      </c>
      <c r="F16" s="95">
        <f>'京东POP财经口径'!F16+'京东自营财经口径'!F16</f>
      </c>
      <c r="G16" s="95">
        <f>'京东POP财经口径'!G16+'京东自营财经口径'!G16</f>
      </c>
      <c r="H16" s="95">
        <f>'京东POP财经口径'!H16+'京东自营财经口径'!H16</f>
      </c>
      <c r="I16" s="95">
        <f>'京东POP财经口径'!I16+'京东自营财经口径'!I16</f>
      </c>
      <c r="J16" s="95">
        <f>'京东POP财经口径'!J16+'京东自营财经口径'!J16</f>
      </c>
      <c r="K16" s="95">
        <f>'京东POP财经口径'!K16+'京东自营财经口径'!K16</f>
      </c>
      <c r="L16" s="95">
        <f>'京东POP财经口径'!L16+'京东自营财经口径'!L16</f>
      </c>
      <c r="M16" s="95">
        <f>'京东POP财经口径'!M16+'京东自营财经口径'!M16</f>
      </c>
      <c r="N16" s="95">
        <f>'京东POP财经口径'!N16+'京东自营财经口径'!N16</f>
      </c>
      <c r="O16" s="95">
        <f>SUM(C16:N16)</f>
      </c>
      <c r="P16" s="95"/>
      <c r="Q16" s="1"/>
    </row>
    <row r="17">
      <c r="C17">
        <f>'京东POP财经口径'!C17+'京东自营财经口径'!C17</f>
      </c>
      <c r="D17">
        <f>'京东POP财经口径'!D17+'京东自营财经口径'!D17</f>
      </c>
      <c r="E17">
        <f>'京东POP财经口径'!E17+'京东自营财经口径'!E17</f>
      </c>
      <c r="F17">
        <f>'京东POP财经口径'!F17+'京东自营财经口径'!F17</f>
      </c>
      <c r="G17">
        <f>'京东POP财经口径'!G17+'京东自营财经口径'!G17</f>
      </c>
      <c r="H17">
        <f>'京东POP财经口径'!H17+'京东自营财经口径'!H17</f>
      </c>
      <c r="I17">
        <f>'京东POP财经口径'!I17+'京东自营财经口径'!I17</f>
      </c>
      <c r="J17">
        <f>'京东POP财经口径'!J17+'京东自营财经口径'!J17</f>
      </c>
      <c r="K17">
        <f>'京东POP财经口径'!K17+'京东自营财经口径'!K17</f>
      </c>
      <c r="L17">
        <f>'京东POP财经口径'!L17+'京东自营财经口径'!L17</f>
      </c>
      <c r="M17">
        <f>'京东POP财经口径'!M17+'京东自营财经口径'!M17</f>
      </c>
      <c r="N17">
        <f>'京东POP财经口径'!N17+'京东自营财经口径'!N17</f>
      </c>
      <c r="Q17" s="1"/>
    </row>
    <row r="18">
      <c r="B18" s="85" t="str">
        <v>标准主品配件成本</v>
      </c>
      <c r="C18" s="84">
        <f>'京东POP财经口径'!C18+'京东自营财经口径'!C18</f>
      </c>
      <c r="D18" s="84">
        <f>'京东POP财经口径'!D18+'京东自营财经口径'!D18</f>
      </c>
      <c r="E18" s="84">
        <f>'京东POP财经口径'!E18+'京东自营财经口径'!E18</f>
      </c>
      <c r="F18" s="84">
        <f>'京东POP财经口径'!F18+'京东自营财经口径'!F18</f>
      </c>
      <c r="G18" s="84">
        <f>'京东POP财经口径'!G18+'京东自营财经口径'!G18</f>
      </c>
      <c r="H18" s="84">
        <f>'京东POP财经口径'!H18+'京东自营财经口径'!H18</f>
      </c>
      <c r="I18" s="84">
        <f>'京东POP财经口径'!I18+'京东自营财经口径'!I18</f>
      </c>
      <c r="J18" s="84">
        <f>'京东POP财经口径'!J18+'京东自营财经口径'!J18</f>
      </c>
      <c r="K18" s="84">
        <f>'京东POP财经口径'!K18+'京东自营财经口径'!K18</f>
      </c>
      <c r="L18" s="84">
        <f>'京东POP财经口径'!L18+'京东自营财经口径'!L18</f>
      </c>
      <c r="M18" s="84">
        <f>'京东POP财经口径'!M18+'京东自营财经口径'!M18</f>
      </c>
      <c r="N18" s="84">
        <f>'京东POP财经口径'!N18+'京东自营财经口径'!N18</f>
      </c>
      <c r="O18" s="84">
        <f>SUM(C18:N18)</f>
      </c>
      <c r="P18" s="86">
        <f>O18/O16</f>
      </c>
      <c r="Q18" s="1"/>
    </row>
    <row r="19">
      <c r="B19" s="83" t="str">
        <v>产品毛利</v>
      </c>
      <c r="C19" s="81">
        <f>'京东POP财经口径'!C19+'京东自营财经口径'!C19</f>
      </c>
      <c r="D19" s="81">
        <f>'京东POP财经口径'!D19+'京东自营财经口径'!D19</f>
      </c>
      <c r="E19" s="81">
        <f>'京东POP财经口径'!E19+'京东自营财经口径'!E19</f>
      </c>
      <c r="F19" s="81">
        <f>'京东POP财经口径'!F19+'京东自营财经口径'!F19</f>
      </c>
      <c r="G19" s="81">
        <f>'京东POP财经口径'!G19+'京东自营财经口径'!G19</f>
      </c>
      <c r="H19" s="81">
        <f>'京东POP财经口径'!H19+'京东自营财经口径'!H19</f>
      </c>
      <c r="I19" s="81">
        <f>'京东POP财经口径'!I19+'京东自营财经口径'!I19</f>
      </c>
      <c r="J19" s="81">
        <f>'京东POP财经口径'!J19+'京东自营财经口径'!J19</f>
      </c>
      <c r="K19" s="81">
        <f>'京东POP财经口径'!K19+'京东自营财经口径'!K19</f>
      </c>
      <c r="L19" s="81">
        <f>'京东POP财经口径'!L19+'京东自营财经口径'!L19</f>
      </c>
      <c r="M19" s="81">
        <f>'京东POP财经口径'!M19+'京东自营财经口径'!M19</f>
      </c>
      <c r="N19" s="81">
        <f>'京东POP财经口径'!N19+'京东自营财经口径'!N19</f>
      </c>
      <c r="O19" s="81">
        <f>SUM(C19:N19)</f>
      </c>
      <c r="P19" s="82">
        <f>O19/$O$16</f>
      </c>
      <c r="Q19" s="1"/>
    </row>
    <row r="20">
      <c r="A20" s="88"/>
      <c r="B20" s="90" t="str">
        <v>头程/尾程物流/仓储费用</v>
      </c>
      <c r="C20" s="110">
        <f>'京东POP财经口径'!C20+'京东自营财经口径'!C20</f>
      </c>
      <c r="D20" s="110">
        <f>'京东POP财经口径'!D20+'京东自营财经口径'!D20</f>
      </c>
      <c r="E20" s="110">
        <f>'京东POP财经口径'!E20+'京东自营财经口径'!E20</f>
      </c>
      <c r="F20" s="110">
        <f>'京东POP财经口径'!F20+'京东自营财经口径'!F20</f>
      </c>
      <c r="G20" s="110">
        <f>'京东POP财经口径'!G20+'京东自营财经口径'!G20</f>
      </c>
      <c r="H20" s="110">
        <f>'京东POP财经口径'!H20+'京东自营财经口径'!H20</f>
      </c>
      <c r="I20" s="110">
        <f>'京东POP财经口径'!I20+'京东自营财经口径'!I20</f>
      </c>
      <c r="J20" s="110">
        <f>'京东POP财经口径'!J20+'京东自营财经口径'!J20</f>
      </c>
      <c r="K20" s="110">
        <f>'京东POP财经口径'!K20+'京东自营财经口径'!K20</f>
      </c>
      <c r="L20" s="110">
        <f>'京东POP财经口径'!L20+'京东自营财经口径'!L20</f>
      </c>
      <c r="M20" s="110">
        <f>'京东POP财经口径'!M20+'京东自营财经口径'!M20</f>
      </c>
      <c r="N20" s="110">
        <f>'京东POP财经口径'!N20+'京东自营财经口径'!N20</f>
      </c>
      <c r="O20" s="110">
        <f>SUM(C20:N20)</f>
      </c>
      <c r="P20" s="111">
        <v>0.025</v>
      </c>
      <c r="Q20" s="1"/>
    </row>
    <row r="21">
      <c r="B21" s="83" t="str">
        <v>成本合计（产品+物流）</v>
      </c>
      <c r="C21" s="81">
        <f>'京东POP财经口径'!C21+'京东自营财经口径'!C21</f>
      </c>
      <c r="D21" s="81">
        <f>'京东POP财经口径'!D21+'京东自营财经口径'!D21</f>
      </c>
      <c r="E21" s="81">
        <f>'京东POP财经口径'!E21+'京东自营财经口径'!E21</f>
      </c>
      <c r="F21" s="81">
        <f>'京东POP财经口径'!F21+'京东自营财经口径'!F21</f>
      </c>
      <c r="G21" s="81">
        <f>'京东POP财经口径'!G21+'京东自营财经口径'!G21</f>
      </c>
      <c r="H21" s="81">
        <f>'京东POP财经口径'!H21+'京东自营财经口径'!H21</f>
      </c>
      <c r="I21" s="81">
        <f>'京东POP财经口径'!I21+'京东自营财经口径'!I21</f>
      </c>
      <c r="J21" s="81">
        <f>'京东POP财经口径'!J21+'京东自营财经口径'!J21</f>
      </c>
      <c r="K21" s="81">
        <f>'京东POP财经口径'!K21+'京东自营财经口径'!K21</f>
      </c>
      <c r="L21" s="81">
        <f>'京东POP财经口径'!L21+'京东自营财经口径'!L21</f>
      </c>
      <c r="M21" s="81">
        <f>'京东POP财经口径'!M21+'京东自营财经口径'!M21</f>
      </c>
      <c r="N21" s="81">
        <f>'京东POP财经口径'!N21+'京东自营财经口径'!N21</f>
      </c>
      <c r="O21" s="81">
        <f>SUM(C21:N21)</f>
      </c>
      <c r="P21" s="82">
        <f>O21/$O$16</f>
      </c>
      <c r="Q21" s="1"/>
    </row>
    <row r="22">
      <c r="A22" s="97"/>
      <c r="B22" s="98" t="str">
        <v>净毛利</v>
      </c>
      <c r="C22" s="95">
        <f>'京东POP财经口径'!C22+'京东自营财经口径'!C22</f>
      </c>
      <c r="D22" s="95">
        <f>'京东POP财经口径'!D22+'京东自营财经口径'!D22</f>
      </c>
      <c r="E22" s="95">
        <f>'京东POP财经口径'!E22+'京东自营财经口径'!E22</f>
      </c>
      <c r="F22" s="95">
        <f>'京东POP财经口径'!F22+'京东自营财经口径'!F22</f>
      </c>
      <c r="G22" s="95">
        <f>'京东POP财经口径'!G22+'京东自营财经口径'!G22</f>
      </c>
      <c r="H22" s="95">
        <f>'京东POP财经口径'!H22+'京东自营财经口径'!H22</f>
      </c>
      <c r="I22" s="95">
        <f>'京东POP财经口径'!I22+'京东自营财经口径'!I22</f>
      </c>
      <c r="J22" s="95">
        <f>'京东POP财经口径'!J22+'京东自营财经口径'!J22</f>
      </c>
      <c r="K22" s="95">
        <f>'京东POP财经口径'!K22+'京东自营财经口径'!K22</f>
      </c>
      <c r="L22" s="95">
        <f>'京东POP财经口径'!L22+'京东自营财经口径'!L22</f>
      </c>
      <c r="M22" s="95">
        <f>'京东POP财经口径'!M22+'京东自营财经口径'!M22</f>
      </c>
      <c r="N22" s="95">
        <f>'京东POP财经口径'!N22+'京东自营财经口径'!N22</f>
      </c>
      <c r="O22" s="95">
        <f>SUM(C22:N22)</f>
      </c>
      <c r="P22" s="96">
        <f>O22/$O$16</f>
      </c>
      <c r="Q22" s="1"/>
    </row>
    <row r="23"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91"/>
      <c r="Q23" s="1"/>
    </row>
    <row r="24">
      <c r="B24" s="102" t="str">
        <v>合计毛利率</v>
      </c>
      <c r="C24" s="101">
        <f>IFERROR(1-C21/C16,0)</f>
      </c>
      <c r="D24" s="101">
        <f>IFERROR(1-D21/D16,0)</f>
      </c>
      <c r="E24" s="101">
        <f>IFERROR(1-E21/E16,0)</f>
      </c>
      <c r="F24" s="101">
        <f>IFERROR(1-F21/F16,0)</f>
      </c>
      <c r="G24" s="101">
        <f>IFERROR(1-G21/G16,0)</f>
      </c>
      <c r="H24" s="101">
        <f>IFERROR(1-H21/H16,0)</f>
      </c>
      <c r="I24" s="101">
        <f>IFERROR(1-I21/I16,0)</f>
      </c>
      <c r="J24" s="101">
        <f>IFERROR(1-J21/J16,0)</f>
      </c>
      <c r="K24" s="101">
        <f>IFERROR(1-K21/K16,0)</f>
      </c>
      <c r="L24" s="101">
        <f>IFERROR(1-L21/L16,0)</f>
      </c>
      <c r="M24" s="101">
        <f>IFERROR(1-M21/M16,0)</f>
      </c>
      <c r="N24" s="101">
        <f>IFERROR(1-N21/N16,0)</f>
      </c>
      <c r="O24" s="101">
        <f>IFERROR(1-O21/O16,0)</f>
      </c>
      <c r="P24" s="91"/>
      <c r="Q24" s="1"/>
    </row>
    <row r="25"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91"/>
      <c r="Q25" s="1"/>
    </row>
    <row r="26">
      <c r="B26" s="85" t="str">
        <v>品牌及内容费用</v>
      </c>
      <c r="C26" s="84">
        <f>'京东POP财经口径'!C26+'京东自营财经口径'!C26</f>
      </c>
      <c r="D26" s="84">
        <f>'京东POP财经口径'!D26+'京东自营财经口径'!D26</f>
      </c>
      <c r="E26" s="84">
        <f>'京东POP财经口径'!E26+'京东自营财经口径'!E26</f>
      </c>
      <c r="F26" s="84">
        <f>'京东POP财经口径'!F26+'京东自营财经口径'!F26</f>
      </c>
      <c r="G26" s="84">
        <f>'京东POP财经口径'!G26+'京东自营财经口径'!G26</f>
      </c>
      <c r="H26" s="84">
        <f>'京东POP财经口径'!H26+'京东自营财经口径'!H26</f>
      </c>
      <c r="I26" s="84">
        <f>'京东POP财经口径'!I26+'京东自营财经口径'!I26</f>
      </c>
      <c r="J26" s="84">
        <f>'京东POP财经口径'!J26+'京东自营财经口径'!J26</f>
      </c>
      <c r="K26" s="84">
        <f>'京东POP财经口径'!K26+'京东自营财经口径'!K26</f>
      </c>
      <c r="L26" s="84">
        <f>'京东POP财经口径'!L26+'京东自营财经口径'!L26</f>
      </c>
      <c r="M26" s="84">
        <f>'京东POP财经口径'!M26+'京东自营财经口径'!M26</f>
      </c>
      <c r="N26" s="84">
        <f>'京东POP财经口径'!N26+'京东自营财经口径'!N26</f>
      </c>
      <c r="O26" s="84">
        <f>SUM(C26:N26)</f>
      </c>
      <c r="P26" s="86">
        <f>O26/$O$16</f>
      </c>
      <c r="Q26" s="1"/>
    </row>
    <row r="27">
      <c r="A27" s="88"/>
      <c r="B27" s="90" t="str">
        <v>展会</v>
      </c>
      <c r="C27" s="89">
        <f>'京东POP财经口径'!C27+'京东自营财经口径'!C27</f>
      </c>
      <c r="D27" s="89">
        <f>'京东POP财经口径'!D27+'京东自营财经口径'!D27</f>
      </c>
      <c r="E27" s="89">
        <f>'京东POP财经口径'!E27+'京东自营财经口径'!E27</f>
      </c>
      <c r="F27" s="89">
        <f>'京东POP财经口径'!F27+'京东自营财经口径'!F27</f>
      </c>
      <c r="G27" s="89">
        <f>'京东POP财经口径'!G27+'京东自营财经口径'!G27</f>
      </c>
      <c r="H27" s="89">
        <f>'京东POP财经口径'!H27+'京东自营财经口径'!H27</f>
      </c>
      <c r="I27" s="89">
        <f>'京东POP财经口径'!I27+'京东自营财经口径'!I27</f>
      </c>
      <c r="J27" s="89">
        <f>'京东POP财经口径'!J27+'京东自营财经口径'!J27</f>
      </c>
      <c r="K27" s="89">
        <f>'京东POP财经口径'!K27+'京东自营财经口径'!K27</f>
      </c>
      <c r="L27" s="89">
        <f>'京东POP财经口径'!L27+'京东自营财经口径'!L27</f>
      </c>
      <c r="M27" s="89">
        <f>'京东POP财经口径'!M27+'京东自营财经口径'!M27</f>
      </c>
      <c r="N27" s="89">
        <f>'京东POP财经口径'!N27+'京东自营财经口径'!N27</f>
      </c>
      <c r="O27" s="88">
        <f>SUM(C27:N27)</f>
      </c>
      <c r="P27" s="91">
        <f>O27/$O$16</f>
      </c>
      <c r="Q27" s="90"/>
    </row>
    <row r="28">
      <c r="A28" s="88"/>
      <c r="B28" s="90" t="str">
        <v>品牌营销</v>
      </c>
      <c r="C28" s="89">
        <f>'京东POP财经口径'!C28+'京东自营财经口径'!C28</f>
      </c>
      <c r="D28" s="89">
        <f>'京东POP财经口径'!D28+'京东自营财经口径'!D28</f>
      </c>
      <c r="E28" s="89">
        <f>'京东POP财经口径'!E28+'京东自营财经口径'!E28</f>
      </c>
      <c r="F28" s="89">
        <f>'京东POP财经口径'!F28+'京东自营财经口径'!F28</f>
      </c>
      <c r="G28" s="89">
        <f>'京东POP财经口径'!G28+'京东自营财经口径'!G28</f>
      </c>
      <c r="H28" s="89">
        <f>'京东POP财经口径'!H28+'京东自营财经口径'!H28</f>
      </c>
      <c r="I28" s="89">
        <f>'京东POP财经口径'!I28+'京东自营财经口径'!I28</f>
      </c>
      <c r="J28" s="89">
        <f>'京东POP财经口径'!J28+'京东自营财经口径'!J28</f>
      </c>
      <c r="K28" s="89">
        <f>'京东POP财经口径'!K28+'京东自营财经口径'!K28</f>
      </c>
      <c r="L28" s="89">
        <f>'京东POP财经口径'!L28+'京东自营财经口径'!L28</f>
      </c>
      <c r="M28" s="89">
        <f>'京东POP财经口径'!M28+'京东自营财经口径'!M28</f>
      </c>
      <c r="N28" s="89">
        <f>'京东POP财经口径'!N28+'京东自营财经口径'!N28</f>
      </c>
      <c r="O28" s="88">
        <f>SUM(C28:N28)</f>
      </c>
      <c r="P28" s="91">
        <f>O28/$O$16</f>
      </c>
      <c r="Q28" s="90"/>
    </row>
    <row r="29">
      <c r="A29" s="88"/>
      <c r="B29" s="90" t="str">
        <v>内容素材制作</v>
      </c>
      <c r="C29" s="89">
        <f>'京东POP财经口径'!C29+'京东自营财经口径'!C29</f>
      </c>
      <c r="D29" s="89">
        <f>'京东POP财经口径'!D29+'京东自营财经口径'!D29</f>
      </c>
      <c r="E29" s="89">
        <f>'京东POP财经口径'!E29+'京东自营财经口径'!E29</f>
      </c>
      <c r="F29" s="89">
        <f>'京东POP财经口径'!F29+'京东自营财经口径'!F29</f>
      </c>
      <c r="G29" s="89">
        <f>'京东POP财经口径'!G29+'京东自营财经口径'!G29</f>
      </c>
      <c r="H29" s="89">
        <f>'京东POP财经口径'!H29+'京东自营财经口径'!H29</f>
      </c>
      <c r="I29" s="89">
        <f>'京东POP财经口径'!I29+'京东自营财经口径'!I29</f>
      </c>
      <c r="J29" s="89">
        <f>'京东POP财经口径'!J29+'京东自营财经口径'!J29</f>
      </c>
      <c r="K29" s="89">
        <f>'京东POP财经口径'!K29+'京东自营财经口径'!K29</f>
      </c>
      <c r="L29" s="89">
        <f>'京东POP财经口径'!L29+'京东自营财经口径'!L29</f>
      </c>
      <c r="M29" s="89">
        <f>'京东POP财经口径'!M29+'京东自营财经口径'!M29</f>
      </c>
      <c r="N29" s="89">
        <f>'京东POP财经口径'!N29+'京东自营财经口径'!N29</f>
      </c>
      <c r="O29" s="88">
        <f>SUM(C29:N29)</f>
      </c>
      <c r="P29" s="91">
        <f>O29/$O$16</f>
      </c>
      <c r="Q29" s="1"/>
    </row>
    <row r="30">
      <c r="A30" s="88"/>
      <c r="B30" s="90" t="str">
        <v>公关费用</v>
      </c>
      <c r="C30" s="89">
        <f>'京东POP财经口径'!C30+'京东自营财经口径'!C30</f>
      </c>
      <c r="D30" s="89">
        <f>'京东POP财经口径'!D30+'京东自营财经口径'!D30</f>
      </c>
      <c r="E30" s="89">
        <f>'京东POP财经口径'!E30+'京东自营财经口径'!E30</f>
      </c>
      <c r="F30" s="89">
        <f>'京东POP财经口径'!F30+'京东自营财经口径'!F30</f>
      </c>
      <c r="G30" s="89">
        <f>'京东POP财经口径'!G30+'京东自营财经口径'!G30</f>
      </c>
      <c r="H30" s="89">
        <f>'京东POP财经口径'!H30+'京东自营财经口径'!H30</f>
      </c>
      <c r="I30" s="89">
        <f>'京东POP财经口径'!I30+'京东自营财经口径'!I30</f>
      </c>
      <c r="J30" s="89">
        <f>'京东POP财经口径'!J30+'京东自营财经口径'!J30</f>
      </c>
      <c r="K30" s="89">
        <f>'京东POP财经口径'!K30+'京东自营财经口径'!K30</f>
      </c>
      <c r="L30" s="89">
        <f>'京东POP财经口径'!L30+'京东自营财经口径'!L30</f>
      </c>
      <c r="M30" s="89">
        <f>'京东POP财经口径'!M30+'京东自营财经口径'!M30</f>
      </c>
      <c r="N30" s="89">
        <f>'京东POP财经口径'!N30+'京东自营财经口径'!N30</f>
      </c>
      <c r="O30" s="88">
        <f>SUM(C30:N30)</f>
      </c>
      <c r="P30" s="91">
        <f>O30/$O$16</f>
      </c>
      <c r="Q30" s="1"/>
    </row>
    <row collapsed="true" r="31">
      <c r="A31" s="88"/>
      <c r="B31" s="90" t="str">
        <v>达人种草、样机及加热</v>
      </c>
      <c r="C31" s="89">
        <f>'京东POP财经口径'!C31+'京东自营财经口径'!C31</f>
      </c>
      <c r="D31" s="89">
        <f>'京东POP财经口径'!D31+'京东自营财经口径'!D31</f>
      </c>
      <c r="E31" s="89">
        <f>'京东POP财经口径'!E31+'京东自营财经口径'!E31</f>
      </c>
      <c r="F31" s="89">
        <f>'京东POP财经口径'!F31+'京东自营财经口径'!F31</f>
      </c>
      <c r="G31" s="89">
        <f>'京东POP财经口径'!G31+'京东自营财经口径'!G31</f>
      </c>
      <c r="H31" s="89">
        <f>'京东POP财经口径'!H31+'京东自营财经口径'!H31</f>
      </c>
      <c r="I31" s="89">
        <f>'京东POP财经口径'!I31+'京东自营财经口径'!I31</f>
      </c>
      <c r="J31" s="89">
        <f>'京东POP财经口径'!J31+'京东自营财经口径'!J31</f>
      </c>
      <c r="K31" s="89">
        <f>'京东POP财经口径'!K31+'京东自营财经口径'!K31</f>
      </c>
      <c r="L31" s="89">
        <f>'京东POP财经口径'!L31+'京东自营财经口径'!L31</f>
      </c>
      <c r="M31" s="89">
        <f>'京东POP财经口径'!M31+'京东自营财经口径'!M31</f>
      </c>
      <c r="N31" s="89">
        <f>'京东POP财经口径'!N31+'京东自营财经口径'!N31</f>
      </c>
      <c r="O31" s="88">
        <f>SUM(C31:N31)</f>
      </c>
      <c r="P31" s="91">
        <f>O31/$O$16</f>
      </c>
      <c r="Q31" s="1"/>
    </row>
    <row hidden="true" outlineLevel="1" r="32">
      <c r="A32" s="88"/>
      <c r="B32" s="90" t="str">
        <v>展会(费率)</v>
      </c>
      <c r="C32" s="88">
        <f>'京东POP财经口径'!C32+'京东自营财经口径'!C32</f>
      </c>
      <c r="D32" s="88">
        <f>'京东POP财经口径'!D32+'京东自营财经口径'!D32</f>
      </c>
      <c r="E32" s="88">
        <f>'京东POP财经口径'!E32+'京东自营财经口径'!E32</f>
      </c>
      <c r="F32" s="88">
        <f>'京东POP财经口径'!F32+'京东自营财经口径'!F32</f>
      </c>
      <c r="G32" s="88">
        <f>'京东POP财经口径'!G32+'京东自营财经口径'!G32</f>
      </c>
      <c r="H32" s="88">
        <f>'京东POP财经口径'!H32+'京东自营财经口径'!H32</f>
      </c>
      <c r="I32" s="88">
        <f>'京东POP财经口径'!I32+'京东自营财经口径'!I32</f>
      </c>
      <c r="J32" s="88">
        <f>'京东POP财经口径'!J32+'京东自营财经口径'!J32</f>
      </c>
      <c r="K32" s="88">
        <f>'京东POP财经口径'!K32+'京东自营财经口径'!K32</f>
      </c>
      <c r="L32" s="88">
        <f>'京东POP财经口径'!L32+'京东自营财经口径'!L32</f>
      </c>
      <c r="M32" s="88">
        <f>'京东POP财经口径'!M32+'京东自营财经口径'!M32</f>
      </c>
      <c r="N32" s="88">
        <f>'京东POP财经口径'!N32+'京东自营财经口径'!N32</f>
      </c>
      <c r="O32" s="88"/>
      <c r="P32" s="91"/>
      <c r="Q32" s="1"/>
    </row>
    <row hidden="true" outlineLevel="1" r="33">
      <c r="A33" s="88"/>
      <c r="B33" s="90" t="str">
        <v>品牌营销（费率）</v>
      </c>
      <c r="C33" s="88">
        <f>'京东POP财经口径'!C33+'京东自营财经口径'!C33</f>
      </c>
      <c r="D33" s="88">
        <f>'京东POP财经口径'!D33+'京东自营财经口径'!D33</f>
      </c>
      <c r="E33" s="88">
        <f>'京东POP财经口径'!E33+'京东自营财经口径'!E33</f>
      </c>
      <c r="F33" s="88">
        <f>'京东POP财经口径'!F33+'京东自营财经口径'!F33</f>
      </c>
      <c r="G33" s="88">
        <f>'京东POP财经口径'!G33+'京东自营财经口径'!G33</f>
      </c>
      <c r="H33" s="88">
        <f>'京东POP财经口径'!H33+'京东自营财经口径'!H33</f>
      </c>
      <c r="I33" s="88">
        <f>'京东POP财经口径'!I33+'京东自营财经口径'!I33</f>
      </c>
      <c r="J33" s="88">
        <f>'京东POP财经口径'!J33+'京东自营财经口径'!J33</f>
      </c>
      <c r="K33" s="88">
        <f>'京东POP财经口径'!K33+'京东自营财经口径'!K33</f>
      </c>
      <c r="L33" s="88">
        <f>'京东POP财经口径'!L33+'京东自营财经口径'!L33</f>
      </c>
      <c r="M33" s="88">
        <f>'京东POP财经口径'!M33+'京东自营财经口径'!M33</f>
      </c>
      <c r="N33" s="88">
        <f>'京东POP财经口径'!N33+'京东自营财经口径'!N33</f>
      </c>
      <c r="O33" s="88"/>
      <c r="P33" s="91"/>
      <c r="Q33" s="1"/>
    </row>
    <row hidden="true" outlineLevel="1" r="34">
      <c r="A34" s="88"/>
      <c r="B34" s="90" t="str">
        <v>内容素材制作（费率）</v>
      </c>
      <c r="C34" s="88">
        <f>'京东POP财经口径'!C34+'京东自营财经口径'!C34</f>
      </c>
      <c r="D34" s="88">
        <f>'京东POP财经口径'!D34+'京东自营财经口径'!D34</f>
      </c>
      <c r="E34" s="88">
        <f>'京东POP财经口径'!E34+'京东自营财经口径'!E34</f>
      </c>
      <c r="F34" s="88">
        <f>'京东POP财经口径'!F34+'京东自营财经口径'!F34</f>
      </c>
      <c r="G34" s="88">
        <f>'京东POP财经口径'!G34+'京东自营财经口径'!G34</f>
      </c>
      <c r="H34" s="88">
        <f>'京东POP财经口径'!H34+'京东自营财经口径'!H34</f>
      </c>
      <c r="I34" s="88">
        <f>'京东POP财经口径'!I34+'京东自营财经口径'!I34</f>
      </c>
      <c r="J34" s="88">
        <f>'京东POP财经口径'!J34+'京东自营财经口径'!J34</f>
      </c>
      <c r="K34" s="88">
        <f>'京东POP财经口径'!K34+'京东自营财经口径'!K34</f>
      </c>
      <c r="L34" s="88">
        <f>'京东POP财经口径'!L34+'京东自营财经口径'!L34</f>
      </c>
      <c r="M34" s="88">
        <f>'京东POP财经口径'!M34+'京东自营财经口径'!M34</f>
      </c>
      <c r="N34" s="88">
        <f>'京东POP财经口径'!N34+'京东自营财经口径'!N34</f>
      </c>
      <c r="O34" s="88"/>
      <c r="P34" s="91"/>
      <c r="Q34" s="1"/>
    </row>
    <row hidden="true" outlineLevel="1" r="35">
      <c r="A35" s="88"/>
      <c r="B35" s="90" t="str">
        <v>公关费用（费率）</v>
      </c>
      <c r="C35" s="88">
        <f>'京东POP财经口径'!C35+'京东自营财经口径'!C35</f>
      </c>
      <c r="D35" s="88">
        <f>'京东POP财经口径'!D35+'京东自营财经口径'!D35</f>
      </c>
      <c r="E35" s="88">
        <f>'京东POP财经口径'!E35+'京东自营财经口径'!E35</f>
      </c>
      <c r="F35" s="88">
        <f>'京东POP财经口径'!F35+'京东自营财经口径'!F35</f>
      </c>
      <c r="G35" s="88">
        <f>'京东POP财经口径'!G35+'京东自营财经口径'!G35</f>
      </c>
      <c r="H35" s="88">
        <f>'京东POP财经口径'!H35+'京东自营财经口径'!H35</f>
      </c>
      <c r="I35" s="88">
        <f>'京东POP财经口径'!I35+'京东自营财经口径'!I35</f>
      </c>
      <c r="J35" s="88">
        <f>'京东POP财经口径'!J35+'京东自营财经口径'!J35</f>
      </c>
      <c r="K35" s="88">
        <f>'京东POP财经口径'!K35+'京东自营财经口径'!K35</f>
      </c>
      <c r="L35" s="88">
        <f>'京东POP财经口径'!L35+'京东自营财经口径'!L35</f>
      </c>
      <c r="M35" s="88">
        <f>'京东POP财经口径'!M35+'京东自营财经口径'!M35</f>
      </c>
      <c r="N35" s="88">
        <f>'京东POP财经口径'!N35+'京东自营财经口径'!N35</f>
      </c>
      <c r="O35" s="88"/>
      <c r="P35" s="91"/>
      <c r="Q35" s="1"/>
    </row>
    <row hidden="true" outlineLevel="1" r="36">
      <c r="A36" s="88"/>
      <c r="B36" s="90" t="str">
        <v>达人种草、样机及加热（费率）</v>
      </c>
      <c r="C36" s="105">
        <f>'京东POP财经口径'!C36+'京东自营财经口径'!C36</f>
      </c>
      <c r="D36" s="105">
        <f>'京东POP财经口径'!D36+'京东自营财经口径'!D36</f>
      </c>
      <c r="E36" s="105">
        <f>'京东POP财经口径'!E36+'京东自营财经口径'!E36</f>
      </c>
      <c r="F36" s="105">
        <f>'京东POP财经口径'!F36+'京东自营财经口径'!F36</f>
      </c>
      <c r="G36" s="105">
        <f>'京东POP财经口径'!G36+'京东自营财经口径'!G36</f>
      </c>
      <c r="H36" s="105">
        <f>'京东POP财经口径'!H36+'京东自营财经口径'!H36</f>
      </c>
      <c r="I36" s="105">
        <f>'京东POP财经口径'!I36+'京东自营财经口径'!I36</f>
      </c>
      <c r="J36" s="105">
        <f>'京东POP财经口径'!J36+'京东自营财经口径'!J36</f>
      </c>
      <c r="K36" s="105">
        <f>'京东POP财经口径'!K36+'京东自营财经口径'!K36</f>
      </c>
      <c r="L36" s="105">
        <f>'京东POP财经口径'!L36+'京东自营财经口径'!L36</f>
      </c>
      <c r="M36" s="105">
        <f>'京东POP财经口径'!M36+'京东自营财经口径'!M36</f>
      </c>
      <c r="N36" s="105">
        <f>'京东POP财经口径'!N36+'京东自营财经口径'!N36</f>
      </c>
      <c r="O36" s="88"/>
      <c r="P36" s="91"/>
      <c r="Q36" s="1"/>
    </row>
    <row r="37">
      <c r="B37" s="85" t="str">
        <v>效果广告</v>
      </c>
      <c r="C37" s="84">
        <f>'京东POP财经口径'!C37+'京东自营财经口径'!C37</f>
      </c>
      <c r="D37" s="84">
        <f>'京东POP财经口径'!D37+'京东自营财经口径'!D37</f>
      </c>
      <c r="E37" s="84">
        <f>'京东POP财经口径'!E37+'京东自营财经口径'!E37</f>
      </c>
      <c r="F37" s="84">
        <f>'京东POP财经口径'!F37+'京东自营财经口径'!F37</f>
      </c>
      <c r="G37" s="84">
        <f>'京东POP财经口径'!G37+'京东自营财经口径'!G37</f>
      </c>
      <c r="H37" s="84">
        <f>'京东POP财经口径'!H37+'京东自营财经口径'!H37</f>
      </c>
      <c r="I37" s="84">
        <f>'京东POP财经口径'!I37+'京东自营财经口径'!I37</f>
      </c>
      <c r="J37" s="84">
        <f>'京东POP财经口径'!J37+'京东自营财经口径'!J37</f>
      </c>
      <c r="K37" s="84">
        <f>'京东POP财经口径'!K37+'京东自营财经口径'!K37</f>
      </c>
      <c r="L37" s="84">
        <f>'京东POP财经口径'!L37+'京东自营财经口径'!L37</f>
      </c>
      <c r="M37" s="84">
        <f>'京东POP财经口径'!M37+'京东自营财经口径'!M37</f>
      </c>
      <c r="N37" s="84">
        <f>'京东POP财经口径'!N37+'京东自营财经口径'!N37</f>
      </c>
      <c r="O37" s="84">
        <f>SUM(C37:N37)</f>
      </c>
      <c r="P37" s="86">
        <f>O37/$O$16</f>
      </c>
      <c r="Q37" s="1"/>
    </row>
    <row r="38">
      <c r="A38" s="88"/>
      <c r="B38" s="90" t="str">
        <v>站内投放</v>
      </c>
      <c r="C38" s="99">
        <f>'京东POP财经口径'!C38+'京东自营财经口径'!C38</f>
      </c>
      <c r="D38" s="99">
        <f>'京东POP财经口径'!D38+'京东自营财经口径'!D38</f>
      </c>
      <c r="E38" s="99">
        <f>'京东POP财经口径'!E38+'京东自营财经口径'!E38</f>
      </c>
      <c r="F38" s="99">
        <f>'京东POP财经口径'!F38+'京东自营财经口径'!F38</f>
      </c>
      <c r="G38" s="99">
        <f>'京东POP财经口径'!G38+'京东自营财经口径'!G38</f>
      </c>
      <c r="H38" s="99">
        <f>'京东POP财经口径'!H38+'京东自营财经口径'!H38</f>
      </c>
      <c r="I38" s="99">
        <f>'京东POP财经口径'!I38+'京东自营财经口径'!I38</f>
      </c>
      <c r="J38" s="99">
        <f>'京东POP财经口径'!J38+'京东自营财经口径'!J38</f>
      </c>
      <c r="K38" s="99">
        <f>'京东POP财经口径'!K38+'京东自营财经口径'!K38</f>
      </c>
      <c r="L38" s="99">
        <f>'京东POP财经口径'!L38+'京东自营财经口径'!L38</f>
      </c>
      <c r="M38" s="99">
        <f>'京东POP财经口径'!M38+'京东自营财经口径'!M38</f>
      </c>
      <c r="N38" s="99">
        <f>'京东POP财经口径'!N38+'京东自营财经口径'!N38</f>
      </c>
      <c r="O38" s="88">
        <f>SUM(C38:N38)</f>
      </c>
      <c r="P38" s="91">
        <f>O38/$O$16</f>
      </c>
      <c r="Q38" s="1" t="str">
        <v>投放填写</v>
      </c>
    </row>
    <row r="39">
      <c r="A39" s="88"/>
      <c r="B39" s="90" t="str">
        <v>千川投放</v>
      </c>
      <c r="C39" s="99">
        <f>'京东POP财经口径'!C39+'京东自营财经口径'!C39</f>
      </c>
      <c r="D39" s="99">
        <f>'京东POP财经口径'!D39+'京东自营财经口径'!D39</f>
      </c>
      <c r="E39" s="99">
        <f>'京东POP财经口径'!E39+'京东自营财经口径'!E39</f>
      </c>
      <c r="F39" s="99">
        <f>'京东POP财经口径'!F39+'京东自营财经口径'!F39</f>
      </c>
      <c r="G39" s="99">
        <f>'京东POP财经口径'!G39+'京东自营财经口径'!G39</f>
      </c>
      <c r="H39" s="99">
        <f>'京东POP财经口径'!H39+'京东自营财经口径'!H39</f>
      </c>
      <c r="I39" s="99">
        <f>'京东POP财经口径'!I39+'京东自营财经口径'!I39</f>
      </c>
      <c r="J39" s="99">
        <f>'京东POP财经口径'!J39+'京东自营财经口径'!J39</f>
      </c>
      <c r="K39" s="99">
        <f>'京东POP财经口径'!K39+'京东自营财经口径'!K39</f>
      </c>
      <c r="L39" s="99">
        <f>'京东POP财经口径'!L39+'京东自营财经口径'!L39</f>
      </c>
      <c r="M39" s="99">
        <f>'京东POP财经口径'!M39+'京东自营财经口径'!M39</f>
      </c>
      <c r="N39" s="99">
        <f>'京东POP财经口径'!N39+'京东自营财经口径'!N39</f>
      </c>
      <c r="O39" s="88">
        <f>SUM(C39:N39)</f>
      </c>
      <c r="P39" s="91">
        <f>O39/$O$16</f>
      </c>
      <c r="Q39" s="1" t="str">
        <v>投放填写</v>
      </c>
    </row>
    <row collapsed="true" r="40">
      <c r="A40" s="88"/>
      <c r="B40" s="90" t="str">
        <v>站外投放</v>
      </c>
      <c r="C40" s="99">
        <f>'京东POP财经口径'!C40+'京东自营财经口径'!C40</f>
      </c>
      <c r="D40" s="99">
        <f>'京东POP财经口径'!D40+'京东自营财经口径'!D40</f>
      </c>
      <c r="E40" s="99">
        <f>'京东POP财经口径'!E40+'京东自营财经口径'!E40</f>
      </c>
      <c r="F40" s="99">
        <f>'京东POP财经口径'!F40+'京东自营财经口径'!F40</f>
      </c>
      <c r="G40" s="99">
        <f>'京东POP财经口径'!G40+'京东自营财经口径'!G40</f>
      </c>
      <c r="H40" s="99">
        <f>'京东POP财经口径'!H40+'京东自营财经口径'!H40</f>
      </c>
      <c r="I40" s="99">
        <f>'京东POP财经口径'!I40+'京东自营财经口径'!I40</f>
      </c>
      <c r="J40" s="99">
        <f>'京东POP财经口径'!J40+'京东自营财经口径'!J40</f>
      </c>
      <c r="K40" s="99">
        <f>'京东POP财经口径'!K40+'京东自营财经口径'!K40</f>
      </c>
      <c r="L40" s="99">
        <f>'京东POP财经口径'!L40+'京东自营财经口径'!L40</f>
      </c>
      <c r="M40" s="99">
        <f>'京东POP财经口径'!M40+'京东自营财经口径'!M40</f>
      </c>
      <c r="N40" s="99">
        <f>'京东POP财经口径'!N40+'京东自营财经口径'!N40</f>
      </c>
      <c r="O40" s="88">
        <f>SUM(C40:N40)</f>
      </c>
      <c r="P40" s="91">
        <f>O40/$O$16</f>
      </c>
      <c r="Q40" s="1" t="str">
        <v>投放填写</v>
      </c>
    </row>
    <row hidden="true" outlineLevel="1" r="41">
      <c r="A41" s="88"/>
      <c r="B41" s="90" t="str">
        <v>站内投放（费率）</v>
      </c>
      <c r="C41" s="105">
        <f>'京东POP财经口径'!C41+'京东自营财经口径'!C41</f>
      </c>
      <c r="D41" s="105">
        <f>'京东POP财经口径'!D41+'京东自营财经口径'!D41</f>
      </c>
      <c r="E41" s="105">
        <f>'京东POP财经口径'!E41+'京东自营财经口径'!E41</f>
      </c>
      <c r="F41" s="105">
        <f>'京东POP财经口径'!F41+'京东自营财经口径'!F41</f>
      </c>
      <c r="G41" s="105">
        <f>'京东POP财经口径'!G41+'京东自营财经口径'!G41</f>
      </c>
      <c r="H41" s="105">
        <f>'京东POP财经口径'!H41+'京东自营财经口径'!H41</f>
      </c>
      <c r="I41" s="105">
        <f>'京东POP财经口径'!I41+'京东自营财经口径'!I41</f>
      </c>
      <c r="J41" s="105">
        <f>'京东POP财经口径'!J41+'京东自营财经口径'!J41</f>
      </c>
      <c r="K41" s="105">
        <f>'京东POP财经口径'!K41+'京东自营财经口径'!K41</f>
      </c>
      <c r="L41" s="105">
        <f>'京东POP财经口径'!L41+'京东自营财经口径'!L41</f>
      </c>
      <c r="M41" s="105">
        <f>'京东POP财经口径'!M41+'京东自营财经口径'!M41</f>
      </c>
      <c r="N41" s="105">
        <f>'京东POP财经口径'!N41+'京东自营财经口径'!N41</f>
      </c>
      <c r="O41" s="91">
        <f>O38/$O$16</f>
      </c>
      <c r="Q41" s="1" t="str">
        <v>投放填写</v>
      </c>
    </row>
    <row hidden="true" outlineLevel="1" r="42">
      <c r="A42" s="88"/>
      <c r="B42" s="90" t="str">
        <v>千川投放（费率）</v>
      </c>
      <c r="C42" s="105">
        <f>'京东POP财经口径'!C42+'京东自营财经口径'!C42</f>
      </c>
      <c r="D42" s="105">
        <f>'京东POP财经口径'!D42+'京东自营财经口径'!D42</f>
      </c>
      <c r="E42" s="105">
        <f>'京东POP财经口径'!E42+'京东自营财经口径'!E42</f>
      </c>
      <c r="F42" s="105">
        <f>'京东POP财经口径'!F42+'京东自营财经口径'!F42</f>
      </c>
      <c r="G42" s="105">
        <f>'京东POP财经口径'!G42+'京东自营财经口径'!G42</f>
      </c>
      <c r="H42" s="105">
        <f>'京东POP财经口径'!H42+'京东自营财经口径'!H42</f>
      </c>
      <c r="I42" s="105">
        <f>'京东POP财经口径'!I42+'京东自营财经口径'!I42</f>
      </c>
      <c r="J42" s="105">
        <f>'京东POP财经口径'!J42+'京东自营财经口径'!J42</f>
      </c>
      <c r="K42" s="105">
        <f>'京东POP财经口径'!K42+'京东自营财经口径'!K42</f>
      </c>
      <c r="L42" s="105">
        <f>'京东POP财经口径'!L42+'京东自营财经口径'!L42</f>
      </c>
      <c r="M42" s="105">
        <f>'京东POP财经口径'!M42+'京东自营财经口径'!M42</f>
      </c>
      <c r="N42" s="105">
        <f>'京东POP财经口径'!N42+'京东自营财经口径'!N42</f>
      </c>
      <c r="O42" s="91">
        <f>O39/$O$16</f>
      </c>
      <c r="Q42" s="1" t="str">
        <v>投放填写</v>
      </c>
    </row>
    <row hidden="true" outlineLevel="1" r="43">
      <c r="A43" s="88"/>
      <c r="B43" s="90" t="str">
        <v>站外投放（费率）</v>
      </c>
      <c r="C43" s="105">
        <f>'京东POP财经口径'!C43+'京东自营财经口径'!C43</f>
      </c>
      <c r="D43" s="105">
        <f>'京东POP财经口径'!D43+'京东自营财经口径'!D43</f>
      </c>
      <c r="E43" s="105">
        <f>'京东POP财经口径'!E43+'京东自营财经口径'!E43</f>
      </c>
      <c r="F43" s="105">
        <f>'京东POP财经口径'!F43+'京东自营财经口径'!F43</f>
      </c>
      <c r="G43" s="105">
        <f>'京东POP财经口径'!G43+'京东自营财经口径'!G43</f>
      </c>
      <c r="H43" s="105">
        <f>'京东POP财经口径'!H43+'京东自营财经口径'!H43</f>
      </c>
      <c r="I43" s="105">
        <f>'京东POP财经口径'!I43+'京东自营财经口径'!I43</f>
      </c>
      <c r="J43" s="105">
        <f>'京东POP财经口径'!J43+'京东自营财经口径'!J43</f>
      </c>
      <c r="K43" s="105">
        <f>'京东POP财经口径'!K43+'京东自营财经口径'!K43</f>
      </c>
      <c r="L43" s="105">
        <f>'京东POP财经口径'!L43+'京东自营财经口径'!L43</f>
      </c>
      <c r="M43" s="105">
        <f>'京东POP财经口径'!M43+'京东自营财经口径'!M43</f>
      </c>
      <c r="N43" s="105">
        <f>'京东POP财经口径'!N43+'京东自营财经口径'!N43</f>
      </c>
      <c r="O43" s="91">
        <f>O40/$O$16</f>
      </c>
      <c r="Q43" s="1" t="str">
        <v>投放填写</v>
      </c>
    </row>
    <row r="44">
      <c r="B44" s="85" t="str">
        <v>线上营销费用</v>
      </c>
      <c r="C44" s="84">
        <f>'京东POP财经口径'!C44+'京东自营财经口径'!C44</f>
      </c>
      <c r="D44" s="84">
        <f>'京东POP财经口径'!D44+'京东自营财经口径'!D44</f>
      </c>
      <c r="E44" s="84">
        <f>'京东POP财经口径'!E44+'京东自营财经口径'!E44</f>
      </c>
      <c r="F44" s="84">
        <f>'京东POP财经口径'!F44+'京东自营财经口径'!F44</f>
      </c>
      <c r="G44" s="84">
        <f>'京东POP财经口径'!G44+'京东自营财经口径'!G44</f>
      </c>
      <c r="H44" s="84">
        <f>'京东POP财经口径'!H44+'京东自营财经口径'!H44</f>
      </c>
      <c r="I44" s="84">
        <f>'京东POP财经口径'!I44+'京东自营财经口径'!I44</f>
      </c>
      <c r="J44" s="84">
        <f>'京东POP财经口径'!J44+'京东自营财经口径'!J44</f>
      </c>
      <c r="K44" s="84">
        <f>'京东POP财经口径'!K44+'京东自营财经口径'!K44</f>
      </c>
      <c r="L44" s="84">
        <f>'京东POP财经口径'!L44+'京东自营财经口径'!L44</f>
      </c>
      <c r="M44" s="84">
        <f>'京东POP财经口径'!M44+'京东自营财经口径'!M44</f>
      </c>
      <c r="N44" s="84">
        <f>'京东POP财经口径'!N44+'京东自营财经口径'!N44</f>
      </c>
      <c r="O44" s="84">
        <f>SUM(C44:N44)</f>
      </c>
      <c r="P44" s="86">
        <f>O44/$O$16</f>
      </c>
      <c r="Q44" s="1"/>
    </row>
    <row r="45">
      <c r="A45" s="88"/>
      <c r="B45" s="90" t="str">
        <v>直播费用</v>
      </c>
      <c r="C45" s="89">
        <f>'京东POP财经口径'!C45+'京东自营财经口径'!C45</f>
      </c>
      <c r="D45" s="89">
        <f>'京东POP财经口径'!D45+'京东自营财经口径'!D45</f>
      </c>
      <c r="E45" s="89">
        <f>'京东POP财经口径'!E45+'京东自营财经口径'!E45</f>
      </c>
      <c r="F45" s="89">
        <f>'京东POP财经口径'!F45+'京东自营财经口径'!F45</f>
      </c>
      <c r="G45" s="89">
        <f>'京东POP财经口径'!G45+'京东自营财经口径'!G45</f>
      </c>
      <c r="H45" s="89">
        <f>'京东POP财经口径'!H45+'京东自营财经口径'!H45</f>
      </c>
      <c r="I45" s="89">
        <f>'京东POP财经口径'!I45+'京东自营财经口径'!I45</f>
      </c>
      <c r="J45" s="89">
        <f>'京东POP财经口径'!J45+'京东自营财经口径'!J45</f>
      </c>
      <c r="K45" s="89">
        <f>'京东POP财经口径'!K45+'京东自营财经口径'!K45</f>
      </c>
      <c r="L45" s="89">
        <f>'京东POP财经口径'!L45+'京东自营财经口径'!L45</f>
      </c>
      <c r="M45" s="89">
        <f>'京东POP财经口径'!M45+'京东自营财经口径'!M45</f>
      </c>
      <c r="N45" s="89">
        <f>'京东POP财经口径'!N45+'京东自营财经口径'!N45</f>
      </c>
      <c r="O45" s="88"/>
      <c r="P45" s="91">
        <v>0.01</v>
      </c>
      <c r="Q45" s="1" t="str">
        <v>达人填写</v>
      </c>
    </row>
    <row r="46">
      <c r="A46" s="88"/>
      <c r="B46" s="90" t="str">
        <v>赠品费用</v>
      </c>
      <c r="C46" s="89">
        <f>'京东POP财经口径'!C46+'京东自营财经口径'!C46</f>
      </c>
      <c r="D46" s="89">
        <f>'京东POP财经口径'!D46+'京东自营财经口径'!D46</f>
      </c>
      <c r="E46" s="89">
        <f>'京东POP财经口径'!E46+'京东自营财经口径'!E46</f>
      </c>
      <c r="F46" s="89">
        <f>'京东POP财经口径'!F46+'京东自营财经口径'!F46</f>
      </c>
      <c r="G46" s="89">
        <f>'京东POP财经口径'!G46+'京东自营财经口径'!G46</f>
      </c>
      <c r="H46" s="89">
        <f>'京东POP财经口径'!H46+'京东自营财经口径'!H46</f>
      </c>
      <c r="I46" s="89">
        <f>'京东POP财经口径'!I46+'京东自营财经口径'!I46</f>
      </c>
      <c r="J46" s="89">
        <f>'京东POP财经口径'!J46+'京东自营财经口径'!J46</f>
      </c>
      <c r="K46" s="89">
        <f>'京东POP财经口径'!K46+'京东自营财经口径'!K46</f>
      </c>
      <c r="L46" s="89">
        <f>'京东POP财经口径'!L46+'京东自营财经口径'!L46</f>
      </c>
      <c r="M46" s="89">
        <f>'京东POP财经口径'!M46+'京东自营财经口径'!M46</f>
      </c>
      <c r="N46" s="89">
        <f>'京东POP财经口径'!N46+'京东自营财经口径'!N46</f>
      </c>
      <c r="O46" s="88">
        <f>SUM(C46:N46)</f>
      </c>
      <c r="P46" s="91">
        <v>0.02</v>
      </c>
      <c r="Q46" s="90" t="str">
        <v>渠道填写</v>
      </c>
    </row>
    <row r="47">
      <c r="B47" s="85" t="str">
        <v>线下市场费用</v>
      </c>
      <c r="C47" s="84">
        <f>'京东POP财经口径'!C47+'京东自营财经口径'!C47</f>
      </c>
      <c r="D47" s="84">
        <f>'京东POP财经口径'!D47+'京东自营财经口径'!D47</f>
      </c>
      <c r="E47" s="84">
        <f>'京东POP财经口径'!E47+'京东自营财经口径'!E47</f>
      </c>
      <c r="F47" s="84">
        <f>'京东POP财经口径'!F47+'京东自营财经口径'!F47</f>
      </c>
      <c r="G47" s="84">
        <f>'京东POP财经口径'!G47+'京东自营财经口径'!G47</f>
      </c>
      <c r="H47" s="84">
        <f>'京东POP财经口径'!H47+'京东自营财经口径'!H47</f>
      </c>
      <c r="I47" s="84">
        <f>'京东POP财经口径'!I47+'京东自营财经口径'!I47</f>
      </c>
      <c r="J47" s="84">
        <f>'京东POP财经口径'!J47+'京东自营财经口径'!J47</f>
      </c>
      <c r="K47" s="84">
        <f>'京东POP财经口径'!K47+'京东自营财经口径'!K47</f>
      </c>
      <c r="L47" s="84">
        <f>'京东POP财经口径'!L47+'京东自营财经口径'!L47</f>
      </c>
      <c r="M47" s="84">
        <f>'京东POP财经口径'!M47+'京东自营财经口径'!M47</f>
      </c>
      <c r="N47" s="84">
        <f>'京东POP财经口径'!N47+'京东自营财经口径'!N47</f>
      </c>
      <c r="O47" s="84">
        <f>SUM(C47:N47)</f>
      </c>
      <c r="P47" s="86">
        <f>O47/$O$16</f>
      </c>
      <c r="Q47" s="1"/>
    </row>
    <row r="48">
      <c r="A48" s="88"/>
      <c r="B48" s="90" t="str">
        <v>线下渠道展陈、促销费用</v>
      </c>
      <c r="C48" s="89">
        <f>'京东POP财经口径'!C48+'京东自营财经口径'!C48</f>
      </c>
      <c r="D48" s="89">
        <f>'京东POP财经口径'!D48+'京东自营财经口径'!D48</f>
      </c>
      <c r="E48" s="89">
        <f>'京东POP财经口径'!E48+'京东自营财经口径'!E48</f>
      </c>
      <c r="F48" s="89">
        <f>'京东POP财经口径'!F48+'京东自营财经口径'!F48</f>
      </c>
      <c r="G48" s="89">
        <f>'京东POP财经口径'!G48+'京东自营财经口径'!G48</f>
      </c>
      <c r="H48" s="89">
        <f>'京东POP财经口径'!H48+'京东自营财经口径'!H48</f>
      </c>
      <c r="I48" s="89">
        <f>'京东POP财经口径'!I48+'京东自营财经口径'!I48</f>
      </c>
      <c r="J48" s="89">
        <f>'京东POP财经口径'!J48+'京东自营财经口径'!J48</f>
      </c>
      <c r="K48" s="89">
        <f>'京东POP财经口径'!K48+'京东自营财经口径'!K48</f>
      </c>
      <c r="L48" s="89">
        <f>'京东POP财经口径'!L48+'京东自营财经口径'!L48</f>
      </c>
      <c r="M48" s="89">
        <f>'京东POP财经口径'!M48+'京东自营财经口径'!M48</f>
      </c>
      <c r="N48" s="89">
        <f>'京东POP财经口径'!N48+'京东自营财经口径'!N48</f>
      </c>
      <c r="O48" s="88">
        <f>SUM(C48:N48)</f>
      </c>
      <c r="P48" s="91">
        <f>O48/$O$16</f>
      </c>
      <c r="Q48" s="90" t="str">
        <v>线下门店</v>
      </c>
    </row>
    <row r="49">
      <c r="A49" s="88"/>
      <c r="B49" s="90" t="str">
        <v>租金+物业+水电</v>
      </c>
      <c r="C49" s="89">
        <f>'京东POP财经口径'!C49+'京东自营财经口径'!C49</f>
      </c>
      <c r="D49" s="89">
        <f>'京东POP财经口径'!D49+'京东自营财经口径'!D49</f>
      </c>
      <c r="E49" s="89">
        <f>'京东POP财经口径'!E49+'京东自营财经口径'!E49</f>
      </c>
      <c r="F49" s="89">
        <f>'京东POP财经口径'!F49+'京东自营财经口径'!F49</f>
      </c>
      <c r="G49" s="89">
        <f>'京东POP财经口径'!G49+'京东自营财经口径'!G49</f>
      </c>
      <c r="H49" s="89">
        <f>'京东POP财经口径'!H49+'京东自营财经口径'!H49</f>
      </c>
      <c r="I49" s="89">
        <f>'京东POP财经口径'!I49+'京东自营财经口径'!I49</f>
      </c>
      <c r="J49" s="89">
        <f>'京东POP财经口径'!J49+'京东自营财经口径'!J49</f>
      </c>
      <c r="K49" s="89">
        <f>'京东POP财经口径'!K49+'京东自营财经口径'!K49</f>
      </c>
      <c r="L49" s="89">
        <f>'京东POP财经口径'!L49+'京东自营财经口径'!L49</f>
      </c>
      <c r="M49" s="89">
        <f>'京东POP财经口径'!M49+'京东自营财经口径'!M49</f>
      </c>
      <c r="N49" s="89">
        <f>'京东POP财经口径'!N49+'京东自营财经口径'!N49</f>
      </c>
      <c r="O49" s="88">
        <f>SUM(C49:N49)</f>
      </c>
      <c r="P49" s="91">
        <f>O49/$O$16</f>
      </c>
      <c r="Q49" s="90" t="str">
        <v>线下门店</v>
      </c>
    </row>
    <row r="50">
      <c r="A50" s="88"/>
      <c r="B50" s="90" t="str">
        <v>门店人工</v>
      </c>
      <c r="C50" s="89">
        <f>'京东POP财经口径'!C50+'京东自营财经口径'!C50</f>
      </c>
      <c r="D50" s="89">
        <f>'京东POP财经口径'!D50+'京东自营财经口径'!D50</f>
      </c>
      <c r="E50" s="89">
        <f>'京东POP财经口径'!E50+'京东自营财经口径'!E50</f>
      </c>
      <c r="F50" s="89">
        <f>'京东POP财经口径'!F50+'京东自营财经口径'!F50</f>
      </c>
      <c r="G50" s="89">
        <f>'京东POP财经口径'!G50+'京东自营财经口径'!G50</f>
      </c>
      <c r="H50" s="89">
        <f>'京东POP财经口径'!H50+'京东自营财经口径'!H50</f>
      </c>
      <c r="I50" s="89">
        <f>'京东POP财经口径'!I50+'京东自营财经口径'!I50</f>
      </c>
      <c r="J50" s="89">
        <f>'京东POP财经口径'!J50+'京东自营财经口径'!J50</f>
      </c>
      <c r="K50" s="89">
        <f>'京东POP财经口径'!K50+'京东自营财经口径'!K50</f>
      </c>
      <c r="L50" s="89">
        <f>'京东POP财经口径'!L50+'京东自营财经口径'!L50</f>
      </c>
      <c r="M50" s="89">
        <f>'京东POP财经口径'!M50+'京东自营财经口径'!M50</f>
      </c>
      <c r="N50" s="89">
        <f>'京东POP财经口径'!N50+'京东自营财经口径'!N50</f>
      </c>
      <c r="O50" s="88">
        <f>SUM(C50:N50)</f>
      </c>
      <c r="P50" s="91">
        <f>O50/$O$16</f>
      </c>
      <c r="Q50" s="90" t="str">
        <v>线下门店</v>
      </c>
    </row>
    <row r="51">
      <c r="B51" s="90" t="str">
        <v>门店展陈装修等其他</v>
      </c>
      <c r="C51" s="89">
        <f>'京东POP财经口径'!C51+'京东自营财经口径'!C51</f>
      </c>
      <c r="D51" s="89">
        <f>'京东POP财经口径'!D51+'京东自营财经口径'!D51</f>
      </c>
      <c r="E51" s="89">
        <f>'京东POP财经口径'!E51+'京东自营财经口径'!E51</f>
      </c>
      <c r="F51" s="89">
        <f>'京东POP财经口径'!F51+'京东自营财经口径'!F51</f>
      </c>
      <c r="G51" s="89">
        <f>'京东POP财经口径'!G51+'京东自营财经口径'!G51</f>
      </c>
      <c r="H51" s="89">
        <f>'京东POP财经口径'!H51+'京东自营财经口径'!H51</f>
      </c>
      <c r="I51" s="89">
        <f>'京东POP财经口径'!I51+'京东自营财经口径'!I51</f>
      </c>
      <c r="J51" s="89">
        <f>'京东POP财经口径'!J51+'京东自营财经口径'!J51</f>
      </c>
      <c r="K51" s="89">
        <f>'京东POP财经口径'!K51+'京东自营财经口径'!K51</f>
      </c>
      <c r="L51" s="89">
        <f>'京东POP财经口径'!L51+'京东自营财经口径'!L51</f>
      </c>
      <c r="M51" s="89">
        <f>'京东POP财经口径'!M51+'京东自营财经口径'!M51</f>
      </c>
      <c r="N51" s="89">
        <f>'京东POP财经口径'!N51+'京东自营财经口径'!N51</f>
      </c>
      <c r="O51" s="88">
        <f>SUM(C51:N51)</f>
      </c>
      <c r="P51" s="91">
        <f>O51/$O$16</f>
      </c>
      <c r="Q51" s="90" t="str">
        <v>线下门店</v>
      </c>
    </row>
    <row r="52">
      <c r="B52" s="83" t="str">
        <v>市场投入费用</v>
      </c>
      <c r="C52" s="81">
        <f>'京东POP财经口径'!C52+'京东自营财经口径'!C52</f>
      </c>
      <c r="D52" s="81">
        <f>'京东POP财经口径'!D52+'京东自营财经口径'!D52</f>
      </c>
      <c r="E52" s="81">
        <f>'京东POP财经口径'!E52+'京东自营财经口径'!E52</f>
      </c>
      <c r="F52" s="81">
        <f>'京东POP财经口径'!F52+'京东自营财经口径'!F52</f>
      </c>
      <c r="G52" s="81">
        <f>'京东POP财经口径'!G52+'京东自营财经口径'!G52</f>
      </c>
      <c r="H52" s="81">
        <f>'京东POP财经口径'!H52+'京东自营财经口径'!H52</f>
      </c>
      <c r="I52" s="81">
        <f>'京东POP财经口径'!I52+'京东自营财经口径'!I52</f>
      </c>
      <c r="J52" s="81">
        <f>'京东POP财经口径'!J52+'京东自营财经口径'!J52</f>
      </c>
      <c r="K52" s="81">
        <f>'京东POP财经口径'!K52+'京东自营财经口径'!K52</f>
      </c>
      <c r="L52" s="81">
        <f>'京东POP财经口径'!L52+'京东自营财经口径'!L52</f>
      </c>
      <c r="M52" s="81">
        <f>'京东POP财经口径'!M52+'京东自营财经口径'!M52</f>
      </c>
      <c r="N52" s="81">
        <f>'京东POP财经口径'!N52+'京东自营财经口径'!N52</f>
      </c>
      <c r="O52" s="81">
        <f>SUM(C52:N52)</f>
      </c>
      <c r="P52" s="82">
        <f>O52/$O$16</f>
      </c>
      <c r="Q52" s="1"/>
    </row>
    <row r="53">
      <c r="A53" s="88"/>
      <c r="B53" s="90" t="str">
        <v>平台佣金</v>
      </c>
      <c r="C53" s="89">
        <f>'京东POP财经口径'!C53+'京东自营财经口径'!C53</f>
      </c>
      <c r="D53" s="89">
        <f>'京东POP财经口径'!D53+'京东自营财经口径'!D53</f>
      </c>
      <c r="E53" s="89">
        <f>'京东POP财经口径'!E53+'京东自营财经口径'!E53</f>
      </c>
      <c r="F53" s="89">
        <f>'京东POP财经口径'!F53+'京东自营财经口径'!F53</f>
      </c>
      <c r="G53" s="89">
        <f>'京东POP财经口径'!G53+'京东自营财经口径'!G53</f>
      </c>
      <c r="H53" s="89">
        <f>'京东POP财经口径'!H53+'京东自营财经口径'!H53</f>
      </c>
      <c r="I53" s="89">
        <f>'京东POP财经口径'!I53+'京东自营财经口径'!I53</f>
      </c>
      <c r="J53" s="89">
        <f>'京东POP财经口径'!J53+'京东自营财经口径'!J53</f>
      </c>
      <c r="K53" s="89">
        <f>'京东POP财经口径'!K53+'京东自营财经口径'!K53</f>
      </c>
      <c r="L53" s="89">
        <f>'京东POP财经口径'!L53+'京东自营财经口径'!L53</f>
      </c>
      <c r="M53" s="89">
        <f>'京东POP财经口径'!M53+'京东自营财经口径'!M53</f>
      </c>
      <c r="N53" s="89">
        <f>'京东POP财经口径'!N53+'京东自营财经口径'!N53</f>
      </c>
      <c r="O53" s="88">
        <f>SUM(C53:N53)</f>
      </c>
      <c r="P53" s="91">
        <v>0.03</v>
      </c>
      <c r="Q53" s="1"/>
    </row>
    <row r="54">
      <c r="A54" s="88"/>
      <c r="B54" s="90" t="str">
        <v>平台其他费用</v>
      </c>
      <c r="C54" s="89">
        <f>'京东POP财经口径'!C54+'京东自营财经口径'!C54</f>
      </c>
      <c r="D54" s="89">
        <f>'京东POP财经口径'!D54+'京东自营财经口径'!D54</f>
      </c>
      <c r="E54" s="89">
        <f>'京东POP财经口径'!E54+'京东自营财经口径'!E54</f>
      </c>
      <c r="F54" s="89">
        <f>'京东POP财经口径'!F54+'京东自营财经口径'!F54</f>
      </c>
      <c r="G54" s="89">
        <f>'京东POP财经口径'!G54+'京东自营财经口径'!G54</f>
      </c>
      <c r="H54" s="89">
        <f>'京东POP财经口径'!H54+'京东自营财经口径'!H54</f>
      </c>
      <c r="I54" s="89">
        <f>'京东POP财经口径'!I54+'京东自营财经口径'!I54</f>
      </c>
      <c r="J54" s="89">
        <f>'京东POP财经口径'!J54+'京东自营财经口径'!J54</f>
      </c>
      <c r="K54" s="89">
        <f>'京东POP财经口径'!K54+'京东自营财经口径'!K54</f>
      </c>
      <c r="L54" s="89">
        <f>'京东POP财经口径'!L54+'京东自营财经口径'!L54</f>
      </c>
      <c r="M54" s="89">
        <f>'京东POP财经口径'!M54+'京东自营财经口径'!M54</f>
      </c>
      <c r="N54" s="89">
        <f>'京东POP财经口径'!N54+'京东自营财经口径'!N54</f>
      </c>
      <c r="O54" s="88">
        <f>SUM(C54:N54)</f>
      </c>
      <c r="P54" s="91">
        <v>0.014</v>
      </c>
      <c r="Q54" s="1"/>
    </row>
    <row r="55">
      <c r="A55" s="88"/>
      <c r="B55" s="90" t="str">
        <v>售后费用</v>
      </c>
      <c r="C55" s="89">
        <f>'京东POP财经口径'!C55+'京东自营财经口径'!C55</f>
      </c>
      <c r="D55" s="89">
        <f>'京东POP财经口径'!D55+'京东自营财经口径'!D55</f>
      </c>
      <c r="E55" s="89">
        <f>'京东POP财经口径'!E55+'京东自营财经口径'!E55</f>
      </c>
      <c r="F55" s="89">
        <f>'京东POP财经口径'!F55+'京东自营财经口径'!F55</f>
      </c>
      <c r="G55" s="89">
        <f>'京东POP财经口径'!G55+'京东自营财经口径'!G55</f>
      </c>
      <c r="H55" s="89">
        <f>'京东POP财经口径'!H55+'京东自营财经口径'!H55</f>
      </c>
      <c r="I55" s="89">
        <f>'京东POP财经口径'!I55+'京东自营财经口径'!I55</f>
      </c>
      <c r="J55" s="89">
        <f>'京东POP财经口径'!J55+'京东自营财经口径'!J55</f>
      </c>
      <c r="K55" s="89">
        <f>'京东POP财经口径'!K55+'京东自营财经口径'!K55</f>
      </c>
      <c r="L55" s="89">
        <f>'京东POP财经口径'!L55+'京东自营财经口径'!L55</f>
      </c>
      <c r="M55" s="89">
        <f>'京东POP财经口径'!M55+'京东自营财经口径'!M55</f>
      </c>
      <c r="N55" s="89">
        <f>'京东POP财经口径'!N55+'京东自营财经口径'!N55</f>
      </c>
      <c r="O55" s="88">
        <f>SUM(C55:N55)</f>
      </c>
      <c r="P55" s="91">
        <v>0.03</v>
      </c>
      <c r="Q55" s="1"/>
    </row>
    <row r="56">
      <c r="A56" s="88"/>
      <c r="B56" s="90" t="str">
        <v>短信及店铺软件</v>
      </c>
      <c r="C56" s="89">
        <f>'京东POP财经口径'!C56+'京东自营财经口径'!C56</f>
      </c>
      <c r="D56" s="89">
        <f>'京东POP财经口径'!D56+'京东自营财经口径'!D56</f>
      </c>
      <c r="E56" s="89">
        <f>'京东POP财经口径'!E56+'京东自营财经口径'!E56</f>
      </c>
      <c r="F56" s="89">
        <f>'京东POP财经口径'!F56+'京东自营财经口径'!F56</f>
      </c>
      <c r="G56" s="89">
        <f>'京东POP财经口径'!G56+'京东自营财经口径'!G56</f>
      </c>
      <c r="H56" s="89">
        <f>'京东POP财经口径'!H56+'京东自营财经口径'!H56</f>
      </c>
      <c r="I56" s="89">
        <f>'京东POP财经口径'!I56+'京东自营财经口径'!I56</f>
      </c>
      <c r="J56" s="89">
        <f>'京东POP财经口径'!J56+'京东自营财经口径'!J56</f>
      </c>
      <c r="K56" s="89">
        <f>'京东POP财经口径'!K56+'京东自营财经口径'!K56</f>
      </c>
      <c r="L56" s="89">
        <f>'京东POP财经口径'!L56+'京东自营财经口径'!L56</f>
      </c>
      <c r="M56" s="89">
        <f>'京东POP财经口径'!M56+'京东自营财经口径'!M56</f>
      </c>
      <c r="N56" s="89">
        <f>'京东POP财经口径'!N56+'京东自营财经口径'!N56</f>
      </c>
      <c r="O56" s="88">
        <f>SUM(C56:N56)</f>
      </c>
      <c r="P56" s="91">
        <v>0.001</v>
      </c>
      <c r="Q56" s="1"/>
    </row>
    <row r="57">
      <c r="A57" s="88"/>
      <c r="B57" s="90" t="str">
        <v>其他运营费用（咨询调研等）</v>
      </c>
      <c r="C57" s="89">
        <f>'京东POP财经口径'!C57+'京东自营财经口径'!C57</f>
      </c>
      <c r="D57" s="89">
        <f>'京东POP财经口径'!N57+'京东自营财经口径'!N57</f>
      </c>
      <c r="E57" s="89">
        <f>'京东POP财经口径'!E57+'京东自营财经口径'!E57</f>
      </c>
      <c r="F57" s="89">
        <f>'京东POP财经口径'!F57+'京东自营财经口径'!F57</f>
      </c>
      <c r="G57" s="89">
        <f>'京东POP财经口径'!G57+'京东自营财经口径'!G57</f>
      </c>
      <c r="H57" s="89">
        <f>'京东POP财经口径'!H57+'京东自营财经口径'!H57</f>
      </c>
      <c r="I57" s="89">
        <f>'京东POP财经口径'!I57+'京东自营财经口径'!I57</f>
      </c>
      <c r="J57" s="89">
        <f>'京东POP财经口径'!J57+'京东自营财经口径'!J57</f>
      </c>
      <c r="K57" s="89">
        <f>'京东POP财经口径'!K57+'京东自营财经口径'!K57</f>
      </c>
      <c r="L57" s="89">
        <f>'京东POP财经口径'!L57+'京东自营财经口径'!L57</f>
      </c>
      <c r="M57" s="89">
        <f>'京东POP财经口径'!M57+'京东自营财经口径'!M57</f>
      </c>
      <c r="N57" s="89">
        <f>'京东POP财经口径'!N57+#REF!</f>
      </c>
      <c r="O57" s="88">
        <f>SUM(C57:N57)</f>
      </c>
      <c r="P57" s="91">
        <f>O57/$O$16</f>
      </c>
      <c r="Q57" s="90"/>
    </row>
    <row r="58">
      <c r="B58" s="83" t="str">
        <v>店铺运营费用</v>
      </c>
      <c r="C58" s="81">
        <f>'京东POP财经口径'!C58+'京东自营财经口径'!C58</f>
      </c>
      <c r="D58" s="81">
        <f>'京东POP财经口径'!D58+'京东自营财经口径'!D58</f>
      </c>
      <c r="E58" s="81">
        <f>'京东POP财经口径'!E58+'京东自营财经口径'!E58</f>
      </c>
      <c r="F58" s="81">
        <f>'京东POP财经口径'!F58+'京东自营财经口径'!F58</f>
      </c>
      <c r="G58" s="81">
        <f>'京东POP财经口径'!G58+'京东自营财经口径'!G58</f>
      </c>
      <c r="H58" s="81">
        <f>'京东POP财经口径'!H58+'京东自营财经口径'!H58</f>
      </c>
      <c r="I58" s="81">
        <f>'京东POP财经口径'!I58+'京东自营财经口径'!I58</f>
      </c>
      <c r="J58" s="81">
        <f>'京东POP财经口径'!J58+'京东自营财经口径'!J58</f>
      </c>
      <c r="K58" s="81">
        <f>'京东POP财经口径'!K58+'京东自营财经口径'!K58</f>
      </c>
      <c r="L58" s="81">
        <f>'京东POP财经口径'!L58+'京东自营财经口径'!L58</f>
      </c>
      <c r="M58" s="81">
        <f>'京东POP财经口径'!M58+'京东自营财经口径'!M58</f>
      </c>
      <c r="N58" s="81">
        <f>'京东POP财经口径'!N58+'京东自营财经口径'!N58</f>
      </c>
      <c r="O58" s="81">
        <f>SUM(C58:N58)</f>
      </c>
      <c r="P58" s="82">
        <f>O58/$O$16</f>
      </c>
      <c r="Q58" s="1"/>
    </row>
    <row r="59">
      <c r="A59" s="97"/>
      <c r="B59" s="98" t="str">
        <v>A&amp;P 合计数</v>
      </c>
      <c r="C59" s="95">
        <f>'京东POP财经口径'!C59+'京东自营财经口径'!C59</f>
      </c>
      <c r="D59" s="95">
        <f>'京东POP财经口径'!D59+'京东自营财经口径'!D59</f>
      </c>
      <c r="E59" s="95">
        <f>'京东POP财经口径'!E59+'京东自营财经口径'!E59</f>
      </c>
      <c r="F59" s="95">
        <f>'京东POP财经口径'!F59+'京东自营财经口径'!F59</f>
      </c>
      <c r="G59" s="95">
        <f>'京东POP财经口径'!G59+'京东自营财经口径'!G59</f>
      </c>
      <c r="H59" s="95">
        <f>'京东POP财经口径'!H59+'京东自营财经口径'!H59</f>
      </c>
      <c r="I59" s="95">
        <f>'京东POP财经口径'!I59+'京东自营财经口径'!I59</f>
      </c>
      <c r="J59" s="95">
        <f>'京东POP财经口径'!J59+'京东自营财经口径'!J59</f>
      </c>
      <c r="K59" s="95">
        <f>'京东POP财经口径'!K59+'京东自营财经口径'!K59</f>
      </c>
      <c r="L59" s="95">
        <f>'京东POP财经口径'!L59+'京东自营财经口径'!L59</f>
      </c>
      <c r="M59" s="95">
        <f>'京东POP财经口径'!M59+'京东自营财经口径'!M59</f>
      </c>
      <c r="N59" s="95">
        <f>'京东POP财经口径'!N59+'京东自营财经口径'!N59</f>
      </c>
      <c r="O59" s="95">
        <f>SUM(C59:N59)</f>
      </c>
      <c r="P59" s="96">
        <f>O59/$O$16</f>
      </c>
      <c r="Q59" s="135"/>
      <c r="R59" s="106"/>
    </row>
    <row r="60">
      <c r="A60" s="97"/>
      <c r="B60" s="98" t="str">
        <v>店铺利润</v>
      </c>
      <c r="C60" s="95">
        <f>'京东POP财经口径'!C60+'京东自营财经口径'!C60</f>
      </c>
      <c r="D60" s="95">
        <f>'京东POP财经口径'!D60+'京东自营财经口径'!D60</f>
      </c>
      <c r="E60" s="95">
        <f>'京东POP财经口径'!E60+'京东自营财经口径'!E60</f>
      </c>
      <c r="F60" s="95">
        <f>'京东POP财经口径'!F60+'京东自营财经口径'!F60</f>
      </c>
      <c r="G60" s="95">
        <f>'京东POP财经口径'!G60+'京东自营财经口径'!G60</f>
      </c>
      <c r="H60" s="95">
        <f>'京东POP财经口径'!H60+'京东自营财经口径'!H60</f>
      </c>
      <c r="I60" s="95">
        <f>'京东POP财经口径'!I60+'京东自营财经口径'!I60</f>
      </c>
      <c r="J60" s="95">
        <f>'京东POP财经口径'!J60+'京东自营财经口径'!J60</f>
      </c>
      <c r="K60" s="95">
        <f>'京东POP财经口径'!K60+'京东自营财经口径'!K60</f>
      </c>
      <c r="L60" s="95">
        <f>'京东POP财经口径'!L60+'京东自营财经口径'!L60</f>
      </c>
      <c r="M60" s="95">
        <f>'京东POP财经口径'!M60+'京东自营财经口径'!M60</f>
      </c>
      <c r="N60" s="95">
        <f>'京东POP财经口径'!N60+'京东自营财经口径'!N60</f>
      </c>
      <c r="O60" s="95">
        <f>SUM(C60:N60)</f>
      </c>
      <c r="P60" s="96">
        <f>O60/$O$16</f>
      </c>
      <c r="Q60" s="135"/>
      <c r="R60" s="107"/>
    </row>
    <row r="61">
      <c r="O61" s="15">
        <f>O60-'京东POP财经口径'!O60-'京东自营财经口径'!O60</f>
      </c>
      <c r="Q61" s="1"/>
    </row>
    <row r="62"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Q62" s="1"/>
    </row>
    <row r="63">
      <c r="Q63" s="1"/>
    </row>
    <row r="64">
      <c r="Q64" s="1"/>
    </row>
    <row r="65">
      <c r="Q65" s="1"/>
    </row>
    <row r="66">
      <c r="Q66" s="1"/>
    </row>
    <row r="67">
      <c r="Q67" s="1"/>
    </row>
    <row r="68">
      <c r="Q68" s="1"/>
    </row>
    <row r="69">
      <c r="Q69" s="1"/>
    </row>
    <row r="70">
      <c r="Q70" s="1"/>
    </row>
    <row r="71">
      <c r="Q71" s="1"/>
    </row>
    <row r="72">
      <c r="Q72" s="1"/>
    </row>
    <row r="73">
      <c r="Q73" s="1"/>
    </row>
    <row r="74">
      <c r="Q74" s="1"/>
    </row>
    <row r="75">
      <c r="Q75" s="1"/>
    </row>
    <row r="76">
      <c r="Q76" s="1"/>
    </row>
    <row r="77">
      <c r="Q77" s="1"/>
    </row>
    <row r="78">
      <c r="Q78" s="1"/>
    </row>
    <row r="79">
      <c r="Q79" s="1"/>
    </row>
    <row r="80">
      <c r="Q80" s="1"/>
    </row>
    <row r="81">
      <c r="Q81" s="1"/>
    </row>
    <row r="82">
      <c r="C82" s="158">
        <f>C16-C18-C20-C26-C37-C44-C47-C58-C60</f>
      </c>
      <c r="D82" s="158">
        <f>D16-D18-D20-D26-D37-D44-D47-D58-D60</f>
      </c>
      <c r="E82" s="158">
        <f>E16-E18-E20-E26-E37-E44-E47-E58-E60</f>
      </c>
      <c r="F82" s="158">
        <f>F16-F18-F20-F26-F37-F44-F47-F58-F60</f>
      </c>
      <c r="G82" s="158">
        <f>G16-G18-G20-G26-G37-G44-G47-G58-G60</f>
      </c>
      <c r="H82" s="158">
        <f>H16-H18-H20-H26-H37-H44-H47-H58-H60</f>
      </c>
      <c r="I82" s="158">
        <f>I16-I18-I20-I26-I37-I44-I47-I58-I60</f>
      </c>
      <c r="J82" s="158">
        <f>J16-J18-J20-J26-J37-J44-J47-J58-J60</f>
      </c>
      <c r="K82" s="158">
        <f>K16-K18-K20-K26-K37-K44-K47-K58-K60</f>
      </c>
      <c r="L82" s="158">
        <f>L16-L18-L20-L26-L37-L44-L47-L58-L60</f>
      </c>
      <c r="M82" s="158">
        <f>M16-M18-M20-M26-M37-M44-M47-M58-M60</f>
      </c>
      <c r="N82" s="158">
        <f>N16-N18-N20-N26-N37-N44-N47-N58-N60</f>
      </c>
      <c r="O82" s="158">
        <f>O16-O18-O20-O26-O37-O44-O47-O58-O60</f>
      </c>
      <c r="Q82" s="1"/>
    </row>
    <row r="83">
      <c r="Q83" s="1"/>
    </row>
    <row r="84">
      <c r="Q84" s="1"/>
    </row>
    <row r="85">
      <c r="Q85" s="1"/>
    </row>
    <row r="86">
      <c r="Q86" s="1"/>
    </row>
    <row r="87">
      <c r="Q87" s="1"/>
    </row>
    <row r="88">
      <c r="Q88" s="1"/>
    </row>
    <row r="89">
      <c r="Q89" s="1"/>
    </row>
    <row r="90">
      <c r="Q90" s="1"/>
    </row>
    <row r="91">
      <c r="Q91" s="1"/>
    </row>
    <row r="92">
      <c r="Q92" s="1"/>
    </row>
    <row r="93">
      <c r="Q93" s="1"/>
    </row>
    <row r="94">
      <c r="Q94" s="1"/>
    </row>
    <row r="95">
      <c r="Q95" s="1"/>
    </row>
    <row r="96">
      <c r="Q96" s="1"/>
    </row>
    <row r="97">
      <c r="Q97" s="1"/>
    </row>
    <row r="98">
      <c r="Q98" s="1"/>
    </row>
    <row r="99">
      <c r="Q99" s="1"/>
    </row>
    <row r="100">
      <c r="Q100" s="1"/>
    </row>
    <row r="101">
      <c r="Q101" s="1"/>
    </row>
    <row r="102">
      <c r="Q102" s="1"/>
    </row>
    <row r="103">
      <c r="Q103" s="1"/>
    </row>
    <row r="104">
      <c r="Q104" s="1"/>
    </row>
    <row r="105">
      <c r="Q105" s="1"/>
    </row>
    <row r="106">
      <c r="Q106" s="1"/>
    </row>
    <row r="107">
      <c r="Q107" s="1"/>
    </row>
    <row r="108">
      <c r="Q108" s="1"/>
    </row>
    <row r="109">
      <c r="Q109" s="1"/>
    </row>
    <row r="110">
      <c r="Q110" s="1"/>
    </row>
    <row r="111">
      <c r="Q111" s="1"/>
    </row>
    <row r="112">
      <c r="Q112" s="1"/>
    </row>
    <row r="113">
      <c r="Q113" s="1"/>
    </row>
    <row r="114">
      <c r="Q114" s="1"/>
    </row>
    <row r="115">
      <c r="Q115" s="1"/>
    </row>
    <row r="116">
      <c r="Q116" s="1"/>
    </row>
    <row r="117">
      <c r="Q117" s="1"/>
    </row>
    <row r="118">
      <c r="Q118" s="1"/>
    </row>
    <row r="119">
      <c r="Q119" s="1"/>
    </row>
    <row r="120">
      <c r="Q120" s="1"/>
    </row>
    <row r="121">
      <c r="Q121" s="1"/>
    </row>
    <row r="122">
      <c r="Q122" s="1"/>
    </row>
    <row r="123">
      <c r="Q123" s="1"/>
    </row>
    <row r="124">
      <c r="Q124" s="1"/>
    </row>
    <row r="125">
      <c r="Q125" s="1"/>
    </row>
    <row r="126">
      <c r="Q126" s="1"/>
    </row>
    <row r="127">
      <c r="Q127" s="1"/>
    </row>
    <row r="128">
      <c r="Q128" s="1"/>
    </row>
    <row r="129">
      <c r="Q129" s="1"/>
    </row>
    <row r="130">
      <c r="Q130" s="1"/>
    </row>
    <row r="131">
      <c r="Q131" s="1"/>
    </row>
    <row r="132">
      <c r="Q132" s="1"/>
    </row>
    <row r="133">
      <c r="Q133" s="1"/>
    </row>
    <row r="134">
      <c r="Q134" s="1"/>
    </row>
    <row r="135">
      <c r="Q135" s="1"/>
    </row>
    <row r="136">
      <c r="Q136" s="1"/>
    </row>
    <row r="137">
      <c r="Q137" s="1"/>
    </row>
    <row r="138">
      <c r="Q138" s="1"/>
    </row>
    <row r="139">
      <c r="Q139" s="1"/>
    </row>
    <row r="140">
      <c r="Q140" s="1"/>
    </row>
    <row r="141">
      <c r="Q141" s="1"/>
    </row>
    <row r="142">
      <c r="Q142" s="1"/>
    </row>
    <row r="143">
      <c r="Q143" s="1"/>
    </row>
    <row r="144">
      <c r="Q144" s="1"/>
    </row>
    <row r="145">
      <c r="Q145" s="1"/>
    </row>
    <row r="146">
      <c r="Q146" s="1"/>
    </row>
    <row r="147">
      <c r="Q147" s="1"/>
    </row>
    <row r="148">
      <c r="Q148" s="1"/>
    </row>
    <row r="149">
      <c r="Q149" s="1"/>
    </row>
    <row r="150">
      <c r="Q150" s="1"/>
    </row>
    <row r="151">
      <c r="Q151" s="1"/>
    </row>
    <row r="152">
      <c r="Q152" s="1"/>
    </row>
    <row r="153">
      <c r="Q153" s="1"/>
    </row>
    <row r="154">
      <c r="Q154" s="1"/>
    </row>
    <row r="155">
      <c r="Q155" s="1"/>
    </row>
    <row r="156">
      <c r="Q156" s="1"/>
    </row>
    <row r="157">
      <c r="Q157" s="1"/>
    </row>
    <row r="158">
      <c r="Q158" s="1"/>
    </row>
    <row r="159">
      <c r="Q159" s="1"/>
    </row>
    <row r="160">
      <c r="Q160" s="1"/>
    </row>
    <row r="161">
      <c r="Q161" s="1"/>
    </row>
    <row r="162">
      <c r="Q162" s="1"/>
    </row>
    <row r="163">
      <c r="Q163" s="1"/>
    </row>
    <row r="164">
      <c r="Q164" s="1"/>
    </row>
    <row r="165">
      <c r="Q165" s="1"/>
    </row>
    <row r="166">
      <c r="Q166" s="1"/>
    </row>
    <row r="167">
      <c r="Q167" s="1"/>
    </row>
    <row r="168">
      <c r="Q168" s="1"/>
    </row>
    <row r="169">
      <c r="Q169" s="1"/>
    </row>
    <row r="170">
      <c r="Q170" s="1"/>
    </row>
    <row r="171">
      <c r="Q171" s="1"/>
    </row>
    <row r="172">
      <c r="Q172" s="1"/>
    </row>
    <row r="173">
      <c r="Q173" s="1"/>
    </row>
    <row r="174">
      <c r="Q174" s="1"/>
    </row>
    <row r="175">
      <c r="Q175" s="1"/>
    </row>
    <row r="176">
      <c r="Q176" s="1"/>
    </row>
    <row r="177">
      <c r="Q177" s="1"/>
    </row>
    <row r="178">
      <c r="Q178" s="1"/>
    </row>
    <row r="179">
      <c r="Q179" s="1"/>
    </row>
    <row r="180">
      <c r="Q180" s="1"/>
    </row>
    <row r="181">
      <c r="Q181" s="1"/>
    </row>
    <row r="182">
      <c r="Q182" s="1"/>
    </row>
    <row r="183">
      <c r="Q183" s="1"/>
    </row>
    <row r="184">
      <c r="Q184" s="1"/>
    </row>
    <row r="185">
      <c r="Q185" s="1"/>
    </row>
    <row r="186">
      <c r="Q186" s="1"/>
    </row>
    <row r="187">
      <c r="Q187" s="1"/>
    </row>
    <row r="188">
      <c r="Q188" s="1"/>
    </row>
    <row r="189">
      <c r="Q189" s="1"/>
    </row>
    <row r="190">
      <c r="Q190" s="1"/>
    </row>
    <row r="191">
      <c r="Q191" s="1"/>
    </row>
    <row r="192">
      <c r="Q192" s="1"/>
    </row>
    <row r="193">
      <c r="Q193" s="1"/>
    </row>
    <row r="194">
      <c r="Q194" s="1"/>
    </row>
    <row r="195">
      <c r="Q195" s="1"/>
    </row>
    <row r="196">
      <c r="Q196" s="1"/>
    </row>
    <row r="197">
      <c r="Q197" s="1"/>
    </row>
    <row r="198">
      <c r="Q198" s="1"/>
    </row>
    <row r="199">
      <c r="Q199" s="1"/>
    </row>
    <row r="200">
      <c r="Q200" s="1"/>
    </row>
    <row r="201">
      <c r="Q201" s="1"/>
    </row>
  </sheetData>
  <picture r:id="rId1"/>
</worksheet>
</file>

<file path=xl/worksheets/sheet18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</row>
    <row r="2">
      <c r="B2" s="90" t="str">
        <v>退后销量</v>
      </c>
      <c r="C2" s="88">
        <v>2481.7150510625547</v>
      </c>
      <c r="D2" s="88">
        <v>2263.5422993207917</v>
      </c>
      <c r="E2" s="88">
        <v>2645.344614868877</v>
      </c>
      <c r="F2" s="88">
        <v>2195.3633144014907</v>
      </c>
      <c r="G2" s="88">
        <v>3831.658952464714</v>
      </c>
      <c r="H2" s="88">
        <v>3313.4986670780268</v>
      </c>
      <c r="I2" s="88">
        <v>2154.45592344991</v>
      </c>
      <c r="J2" s="88">
        <v>2708.069280994634</v>
      </c>
      <c r="K2" s="88">
        <v>2986.2395394653818</v>
      </c>
      <c r="L2" s="88">
        <v>3957.1082847162274</v>
      </c>
      <c r="M2" s="88">
        <v>3076.235799558859</v>
      </c>
      <c r="N2" s="88">
        <v>2748.9766719462145</v>
      </c>
      <c r="O2" s="88">
        <f>SUM(C2:N2)</f>
      </c>
      <c r="P2" s="88"/>
      <c r="Q2" s="1"/>
    </row>
    <row r="3">
      <c r="A3" s="97"/>
      <c r="B3" s="94" t="str">
        <v>自补前GMV</v>
      </c>
      <c r="C3" s="93">
        <f>C6/(1-$P$12)</f>
      </c>
      <c r="D3" s="93">
        <f>D6/(1-$P$12)</f>
      </c>
      <c r="E3" s="93">
        <f>E6/(1-$P$12)</f>
      </c>
      <c r="F3" s="93">
        <f>F6/(1-$P$12)</f>
      </c>
      <c r="G3" s="93">
        <f>G6/(1-$P$12)</f>
      </c>
      <c r="H3" s="93">
        <f>H6/(1-$P$12)</f>
      </c>
      <c r="I3" s="93">
        <f>I6/(1-$P$12)</f>
      </c>
      <c r="J3" s="93">
        <f>J6/(1-$P$12)</f>
      </c>
      <c r="K3" s="93">
        <f>K6/(1-$P$12)</f>
      </c>
      <c r="L3" s="93">
        <f>L6/(1-$P$12)</f>
      </c>
      <c r="M3" s="93">
        <f>M6/(1-$P$12)</f>
      </c>
      <c r="N3" s="93">
        <f>N6/(1-$P$12)</f>
      </c>
      <c r="O3" s="93">
        <f>SUM(C3:N3)</f>
      </c>
      <c r="P3" s="93"/>
      <c r="Q3" s="146" t="str">
        <v>渠道填写</v>
      </c>
    </row>
    <row r="4">
      <c r="A4" s="97"/>
      <c r="B4" s="94" t="str">
        <v>自补前GSV</v>
      </c>
      <c r="C4" s="93">
        <v>972139</v>
      </c>
      <c r="D4" s="93">
        <v>1051330</v>
      </c>
      <c r="E4" s="93">
        <v>828769</v>
      </c>
      <c r="F4" s="93">
        <v>738655</v>
      </c>
      <c r="G4" s="93">
        <v>1370688</v>
      </c>
      <c r="H4" s="93">
        <v>1257375</v>
      </c>
      <c r="I4" s="93">
        <v>958486</v>
      </c>
      <c r="J4" s="93">
        <v>1237020</v>
      </c>
      <c r="K4" s="93">
        <v>946197</v>
      </c>
      <c r="L4" s="93">
        <v>1394037</v>
      </c>
      <c r="M4" s="93">
        <v>1579726</v>
      </c>
      <c r="N4" s="93">
        <v>1317604</v>
      </c>
      <c r="O4" s="93">
        <f>SUM(C4:N4)</f>
      </c>
      <c r="P4" s="93"/>
      <c r="Q4" s="146" t="str">
        <v>渠道填写</v>
      </c>
    </row>
    <row r="5">
      <c r="A5" s="97"/>
      <c r="B5" s="94" t="str">
        <v>国补自补费用</v>
      </c>
      <c r="C5" s="93">
        <f>C3*$P$12</f>
      </c>
      <c r="D5" s="93">
        <f>D3*$P$12</f>
      </c>
      <c r="E5" s="93">
        <f>E3*$P$12</f>
      </c>
      <c r="F5" s="93">
        <f>F3*$P$12</f>
      </c>
      <c r="G5" s="93">
        <f>G3*$P$12</f>
      </c>
      <c r="H5" s="93">
        <f>H3*$P$12</f>
      </c>
      <c r="I5" s="93">
        <f>I3*$P$12</f>
      </c>
      <c r="J5" s="93">
        <f>J3*$P$12</f>
      </c>
      <c r="K5" s="93">
        <f>K3*$P$12</f>
      </c>
      <c r="L5" s="93">
        <f>L3*$P$12</f>
      </c>
      <c r="M5" s="93">
        <f>M3*$P$12</f>
      </c>
      <c r="N5" s="93">
        <f>N3*$P$12</f>
      </c>
      <c r="O5" s="93">
        <f>SUM(C5:N5)</f>
      </c>
      <c r="P5" s="93"/>
      <c r="Q5" s="126" t="str">
        <v>渠道填写</v>
      </c>
    </row>
    <row r="6">
      <c r="A6" s="97"/>
      <c r="B6" s="98" t="str">
        <v>GMV（国补后）</v>
      </c>
      <c r="C6" s="95">
        <v>973941</v>
      </c>
      <c r="D6" s="95">
        <v>1053279</v>
      </c>
      <c r="E6" s="95">
        <v>830305</v>
      </c>
      <c r="F6" s="95">
        <v>740024</v>
      </c>
      <c r="G6" s="95">
        <v>1373229</v>
      </c>
      <c r="H6" s="95">
        <v>1259705</v>
      </c>
      <c r="I6" s="95">
        <v>960262</v>
      </c>
      <c r="J6" s="95">
        <v>1239312</v>
      </c>
      <c r="K6" s="95">
        <v>947951</v>
      </c>
      <c r="L6" s="95">
        <v>1396620</v>
      </c>
      <c r="M6" s="95">
        <v>1582654</v>
      </c>
      <c r="N6" s="95">
        <v>1320045</v>
      </c>
      <c r="O6" s="95">
        <f>SUM(C6:N6)</f>
      </c>
      <c r="P6" s="95"/>
      <c r="Q6" s="126" t="str">
        <v>渠道填写</v>
      </c>
    </row>
    <row r="7">
      <c r="A7" s="97"/>
      <c r="B7" s="102" t="str">
        <v>退货率（发货前+后）</v>
      </c>
      <c r="C7" s="103">
        <f>1-C8/C6</f>
      </c>
      <c r="D7" s="103">
        <f>1-D8/D6</f>
      </c>
      <c r="E7" s="103">
        <f>1-E8/E6</f>
      </c>
      <c r="F7" s="103">
        <f>1-F8/F6</f>
      </c>
      <c r="G7" s="103">
        <f>1-G8/G6</f>
      </c>
      <c r="H7" s="103">
        <f>1-H8/H6</f>
      </c>
      <c r="I7" s="103">
        <f>1-I8/I6</f>
      </c>
      <c r="J7" s="103">
        <f>1-J8/J6</f>
      </c>
      <c r="K7" s="103">
        <f>1-K8/K6</f>
      </c>
      <c r="L7" s="103">
        <f>1-L8/L6</f>
      </c>
      <c r="M7" s="103">
        <f>1-M8/M6</f>
      </c>
      <c r="N7" s="103">
        <f>1-N8/N6</f>
      </c>
      <c r="O7" s="103">
        <f>1-O8/O6</f>
      </c>
      <c r="P7" s="103"/>
      <c r="Q7" s="1" t="str">
        <v>渠道填写</v>
      </c>
    </row>
    <row r="8">
      <c r="A8" s="97"/>
      <c r="B8" s="98" t="str">
        <v>GSV（国补后）</v>
      </c>
      <c r="C8" s="95">
        <v>874942</v>
      </c>
      <c r="D8" s="95">
        <v>946215</v>
      </c>
      <c r="E8" s="95">
        <v>745906</v>
      </c>
      <c r="F8" s="95">
        <v>664802</v>
      </c>
      <c r="G8" s="95">
        <v>1233643</v>
      </c>
      <c r="H8" s="95">
        <v>1131659</v>
      </c>
      <c r="I8" s="95">
        <v>862653</v>
      </c>
      <c r="J8" s="95">
        <v>1113339</v>
      </c>
      <c r="K8" s="95">
        <v>851594</v>
      </c>
      <c r="L8" s="95">
        <v>1254657</v>
      </c>
      <c r="M8" s="95">
        <v>1421781</v>
      </c>
      <c r="N8" s="95">
        <v>1185866</v>
      </c>
      <c r="O8" s="95">
        <f>SUM(C8:N8)</f>
      </c>
      <c r="P8" s="95"/>
      <c r="Q8" s="1" t="str">
        <v>渠道填写</v>
      </c>
    </row>
    <row r="9">
      <c r="B9" s="90"/>
      <c r="C9" s="88">
        <f>C10-C14-C15</f>
      </c>
      <c r="D9" s="88">
        <f>D10-D14-D15</f>
      </c>
      <c r="E9" s="88">
        <f>E10-E14-E15</f>
      </c>
      <c r="F9" s="88">
        <f>F10-F14-F15</f>
      </c>
      <c r="G9" s="88">
        <f>G10-G14-G15</f>
      </c>
      <c r="H9" s="88">
        <f>H10-H14-H15</f>
      </c>
      <c r="I9" s="88">
        <f>I10-I14-I15</f>
      </c>
      <c r="J9" s="88">
        <f>J10-J14-J15</f>
      </c>
      <c r="K9" s="88">
        <f>K10-K14-K15</f>
      </c>
      <c r="L9" s="88">
        <f>L10-L14-L15</f>
      </c>
      <c r="M9" s="88">
        <f>M10-M14-M15</f>
      </c>
      <c r="N9" s="88">
        <f>N10-N14-N15</f>
      </c>
      <c r="O9" s="88">
        <f>O10-O14-O15</f>
      </c>
      <c r="P9" s="88"/>
      <c r="Q9" s="1"/>
    </row>
    <row r="10">
      <c r="A10" s="97"/>
      <c r="B10" s="98" t="str">
        <v>零售价（去除退货后的）</v>
      </c>
      <c r="C10" s="95">
        <v>1078053.4970588235</v>
      </c>
      <c r="D10" s="95">
        <v>1165872.0882352942</v>
      </c>
      <c r="E10" s="95">
        <v>919062.8205882353</v>
      </c>
      <c r="F10" s="95">
        <v>819131.0735294118</v>
      </c>
      <c r="G10" s="95">
        <v>1520024.3764705881</v>
      </c>
      <c r="H10" s="95">
        <v>1394365.544117647</v>
      </c>
      <c r="I10" s="95">
        <v>1062911.9</v>
      </c>
      <c r="J10" s="95">
        <v>1371792.705882353</v>
      </c>
      <c r="K10" s="95">
        <v>1049285.3735294119</v>
      </c>
      <c r="L10" s="95">
        <v>1545916.6676470588</v>
      </c>
      <c r="M10" s="95">
        <v>1751837.1941176471</v>
      </c>
      <c r="N10" s="95">
        <v>1461156.3058823529</v>
      </c>
      <c r="O10" s="95">
        <f>SUM(C10:N10)</f>
      </c>
      <c r="P10" s="95"/>
      <c r="Q10" s="1"/>
    </row>
    <row r="11">
      <c r="B11" s="85" t="str">
        <v>合同折扣及返利 (线下）</v>
      </c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>
        <f>SUM(C11:N11)</f>
      </c>
      <c r="P11" s="84"/>
      <c r="Q11" s="1" t="str">
        <v>线下渠道填写</v>
      </c>
    </row>
    <row r="12">
      <c r="B12" s="85" t="str">
        <v>国补自补 （线上）</v>
      </c>
      <c r="C12" s="84">
        <f>C4*$P$12</f>
      </c>
      <c r="D12" s="84">
        <f>D4*$P$12</f>
      </c>
      <c r="E12" s="84">
        <f>E4*$P$12</f>
      </c>
      <c r="F12" s="84">
        <f>F4*$P$12</f>
      </c>
      <c r="G12" s="84">
        <f>G4*$P$12</f>
      </c>
      <c r="H12" s="84">
        <f>H4*$P$12</f>
      </c>
      <c r="I12" s="84">
        <f>I4*$P$12</f>
      </c>
      <c r="J12" s="84">
        <f>J4*$P$12</f>
      </c>
      <c r="K12" s="84">
        <f>K4*$P$12</f>
      </c>
      <c r="L12" s="84">
        <f>L4*$P$12</f>
      </c>
      <c r="M12" s="84">
        <f>M4*$P$12</f>
      </c>
      <c r="N12" s="84">
        <f>N4*$P$12</f>
      </c>
      <c r="O12" s="84">
        <f>SUM(C12:N12)</f>
      </c>
      <c r="P12" s="183">
        <v>0.15</v>
      </c>
      <c r="Q12" s="1" t="str">
        <v>渠道填写</v>
      </c>
      <c r="R12" s="54">
        <f>O12/$O$10</f>
      </c>
    </row>
    <row r="13">
      <c r="B13" s="85" t="str">
        <v>红包消费券等促销折扣</v>
      </c>
      <c r="C13" s="84">
        <f>C3*5%</f>
      </c>
      <c r="D13" s="84">
        <f>D3*5%</f>
      </c>
      <c r="E13" s="84">
        <f>E3*5%</f>
      </c>
      <c r="F13" s="84">
        <f>F3*5%</f>
      </c>
      <c r="G13" s="84">
        <f>G3*5%</f>
      </c>
      <c r="H13" s="84">
        <f>H3*5%</f>
      </c>
      <c r="I13" s="84">
        <f>I3*5%</f>
      </c>
      <c r="J13" s="84">
        <f>J3*5%</f>
      </c>
      <c r="K13" s="84">
        <f>K3*5%</f>
      </c>
      <c r="L13" s="84">
        <f>L3*5%</f>
      </c>
      <c r="M13" s="84">
        <f>M3*5%</f>
      </c>
      <c r="N13" s="84">
        <f>N3*5%</f>
      </c>
      <c r="O13" s="84">
        <f>SUM(C13:N13)</f>
      </c>
      <c r="P13" s="84"/>
      <c r="Q13" s="1" t="str">
        <v>渠道填写</v>
      </c>
      <c r="R13" s="54">
        <f>O13/$O$10</f>
      </c>
    </row>
    <row r="14">
      <c r="B14" s="83" t="str">
        <v>TTL 折扣合计</v>
      </c>
      <c r="C14" s="81">
        <f>SUM(C11:C13)</f>
      </c>
      <c r="D14" s="81">
        <f>SUM(D11:D13)</f>
      </c>
      <c r="E14" s="81">
        <f>SUM(E11:E13)</f>
      </c>
      <c r="F14" s="81">
        <f>SUM(F11:F13)</f>
      </c>
      <c r="G14" s="81">
        <f>SUM(G11:G13)</f>
      </c>
      <c r="H14" s="81">
        <f>SUM(H11:H13)</f>
      </c>
      <c r="I14" s="81">
        <f>SUM(I11:I13)</f>
      </c>
      <c r="J14" s="81">
        <f>SUM(J11:J13)</f>
      </c>
      <c r="K14" s="81">
        <f>SUM(K11:K13)</f>
      </c>
      <c r="L14" s="81">
        <f>SUM(L11:L13)</f>
      </c>
      <c r="M14" s="81">
        <f>SUM(M11:M13)</f>
      </c>
      <c r="N14" s="81">
        <f>SUM(N11:N13)</f>
      </c>
      <c r="O14" s="81">
        <f>SUM(C14:N14)</f>
      </c>
      <c r="P14" s="81"/>
      <c r="Q14" s="1"/>
    </row>
    <row r="15">
      <c r="A15" s="97"/>
      <c r="B15" s="98" t="str">
        <v>GSV</v>
      </c>
      <c r="C15" s="95">
        <f>C8</f>
      </c>
      <c r="D15" s="95">
        <f>D8</f>
      </c>
      <c r="E15" s="95">
        <f>E8</f>
      </c>
      <c r="F15" s="95">
        <f>F8</f>
      </c>
      <c r="G15" s="95">
        <f>G8</f>
      </c>
      <c r="H15" s="95">
        <f>H8</f>
      </c>
      <c r="I15" s="95">
        <f>I8</f>
      </c>
      <c r="J15" s="95">
        <f>J8</f>
      </c>
      <c r="K15" s="95">
        <f>K8</f>
      </c>
      <c r="L15" s="95">
        <f>L8</f>
      </c>
      <c r="M15" s="95">
        <f>M8</f>
      </c>
      <c r="N15" s="95">
        <f>N8</f>
      </c>
      <c r="O15" s="95">
        <f>SUM(C15:N15)</f>
      </c>
      <c r="P15" s="95"/>
      <c r="Q15" s="1"/>
    </row>
    <row r="16">
      <c r="A16" s="97"/>
      <c r="B16" s="98" t="str">
        <v>营业收入</v>
      </c>
      <c r="C16" s="95">
        <f>+C8/1.13</f>
      </c>
      <c r="D16" s="95">
        <f>+D8/1.13</f>
      </c>
      <c r="E16" s="95">
        <f>+E8/1.13</f>
      </c>
      <c r="F16" s="95">
        <f>+F8/1.13</f>
      </c>
      <c r="G16" s="95">
        <f>+G8/1.13</f>
      </c>
      <c r="H16" s="95">
        <f>+H8/1.13</f>
      </c>
      <c r="I16" s="95">
        <f>+I8/1.13</f>
      </c>
      <c r="J16" s="95">
        <f>+J8/1.13</f>
      </c>
      <c r="K16" s="95">
        <f>+K8/1.13</f>
      </c>
      <c r="L16" s="95">
        <f>+L8/1.13</f>
      </c>
      <c r="M16" s="95">
        <f>+M8/1.13</f>
      </c>
      <c r="N16" s="95">
        <f>+N8/1.13</f>
      </c>
      <c r="O16" s="95">
        <f>SUM(C16:N16)</f>
      </c>
      <c r="P16" s="95"/>
      <c r="Q16" s="1"/>
    </row>
    <row r="17">
      <c r="C17" s="157">
        <f>C10-C14-C15</f>
      </c>
      <c r="D17" s="157">
        <f>D10-D14-D15</f>
      </c>
      <c r="E17" s="157">
        <f>E10-E14-E15</f>
      </c>
      <c r="F17" s="157">
        <f>F10-F14-F15</f>
      </c>
      <c r="G17" s="157">
        <f>G10-G14-G15</f>
      </c>
      <c r="H17" s="157">
        <f>H10-H14-H15</f>
      </c>
      <c r="I17" s="157">
        <f>I10-I14-I15</f>
      </c>
      <c r="J17" s="157">
        <f>J10-J14-J15</f>
      </c>
      <c r="K17" s="157">
        <f>K10-K14-K15</f>
      </c>
      <c r="L17" s="157">
        <f>L10-L14-L15</f>
      </c>
      <c r="M17" s="157">
        <f>M10-M14-M15</f>
      </c>
      <c r="N17" s="157">
        <f>N10-N14-N15</f>
      </c>
      <c r="O17" s="157">
        <f>O10-O14-O15</f>
      </c>
      <c r="Q17" s="1"/>
    </row>
    <row r="18">
      <c r="B18" s="85" t="str">
        <v>标准主品配件成本</v>
      </c>
      <c r="C18" s="84">
        <f>C64*C65</f>
      </c>
      <c r="D18" s="84">
        <f>D64*D65</f>
      </c>
      <c r="E18" s="84">
        <f>E64*E65</f>
      </c>
      <c r="F18" s="84">
        <f>F64*F65</f>
      </c>
      <c r="G18" s="84">
        <f>G64*G65</f>
      </c>
      <c r="H18" s="84">
        <f>H64*H65</f>
      </c>
      <c r="I18" s="84">
        <f>I64*I65</f>
      </c>
      <c r="J18" s="84">
        <f>J64*J65</f>
      </c>
      <c r="K18" s="84">
        <f>K64*K65</f>
      </c>
      <c r="L18" s="84">
        <f>L64*L65</f>
      </c>
      <c r="M18" s="84">
        <f>M64*M65</f>
      </c>
      <c r="N18" s="84">
        <f>N64*N65</f>
      </c>
      <c r="O18" s="84">
        <f>SUM(C18:N18)</f>
      </c>
      <c r="P18" s="86">
        <f>O18/O16</f>
      </c>
      <c r="Q18" s="1"/>
    </row>
    <row r="19">
      <c r="B19" s="83" t="str">
        <v>产品毛利</v>
      </c>
      <c r="C19" s="81">
        <f>C16-C18</f>
      </c>
      <c r="D19" s="81">
        <f>D16-D18</f>
      </c>
      <c r="E19" s="81">
        <f>E16-E18</f>
      </c>
      <c r="F19" s="81">
        <f>F16-F18</f>
      </c>
      <c r="G19" s="81">
        <f>G16-G18</f>
      </c>
      <c r="H19" s="81">
        <f>H16-H18</f>
      </c>
      <c r="I19" s="81">
        <f>I16-I18</f>
      </c>
      <c r="J19" s="81">
        <f>J16-J18</f>
      </c>
      <c r="K19" s="81">
        <f>K16-K18</f>
      </c>
      <c r="L19" s="81">
        <f>L16-L18</f>
      </c>
      <c r="M19" s="81">
        <f>M16-M18</f>
      </c>
      <c r="N19" s="81">
        <f>N16-N18</f>
      </c>
      <c r="O19" s="81">
        <f>SUM(C19:N19)</f>
      </c>
      <c r="P19" s="82">
        <f>O19/$O$16</f>
      </c>
      <c r="Q19" s="1"/>
    </row>
    <row r="20">
      <c r="A20" s="88"/>
      <c r="B20" s="90" t="str">
        <v>头程/尾程物流/仓储费用</v>
      </c>
      <c r="C20" s="110">
        <f>C16*2.5%</f>
      </c>
      <c r="D20" s="110">
        <f>D16*2.5%</f>
      </c>
      <c r="E20" s="110">
        <f>E16*2.5%</f>
      </c>
      <c r="F20" s="110">
        <f>F16*2.5%</f>
      </c>
      <c r="G20" s="110">
        <f>G16*2.5%</f>
      </c>
      <c r="H20" s="110">
        <f>H16*2.5%</f>
      </c>
      <c r="I20" s="110">
        <f>I16*2.5%</f>
      </c>
      <c r="J20" s="110">
        <f>J16*2.5%</f>
      </c>
      <c r="K20" s="110">
        <f>K16*2.5%</f>
      </c>
      <c r="L20" s="110">
        <f>L16*2.5%</f>
      </c>
      <c r="M20" s="110">
        <f>M16*2.5%</f>
      </c>
      <c r="N20" s="110">
        <f>N16*2.5%</f>
      </c>
      <c r="O20" s="110">
        <f>SUM(C20:N20)</f>
      </c>
      <c r="P20" s="111">
        <v>0.025</v>
      </c>
      <c r="Q20" s="1"/>
    </row>
    <row r="21">
      <c r="B21" s="83" t="str">
        <v>成本合计（产品+物流）</v>
      </c>
      <c r="C21" s="81">
        <f>SUM(C18,C20)</f>
      </c>
      <c r="D21" s="81">
        <f>SUM(D18,D20)</f>
      </c>
      <c r="E21" s="81">
        <f>SUM(E18,E20)</f>
      </c>
      <c r="F21" s="81">
        <f>SUM(F18,F20)</f>
      </c>
      <c r="G21" s="81">
        <f>SUM(G18,G20)</f>
      </c>
      <c r="H21" s="81">
        <f>SUM(H18,H20)</f>
      </c>
      <c r="I21" s="81">
        <f>SUM(I18,I20)</f>
      </c>
      <c r="J21" s="81">
        <f>SUM(J18,J20)</f>
      </c>
      <c r="K21" s="81">
        <f>SUM(K18,K20)</f>
      </c>
      <c r="L21" s="81">
        <f>SUM(L18,L20)</f>
      </c>
      <c r="M21" s="81">
        <f>SUM(M18,M20)</f>
      </c>
      <c r="N21" s="81">
        <f>SUM(N18,N20)</f>
      </c>
      <c r="O21" s="81">
        <f>SUM(C21:N21)</f>
      </c>
      <c r="P21" s="82">
        <f>O21/$O$16</f>
      </c>
      <c r="Q21" s="1"/>
    </row>
    <row r="22">
      <c r="A22" s="97"/>
      <c r="B22" s="98" t="str">
        <v>净毛利</v>
      </c>
      <c r="C22" s="95">
        <f>C16-C21</f>
      </c>
      <c r="D22" s="95">
        <f>D16-D21</f>
      </c>
      <c r="E22" s="95">
        <f>E16-E21</f>
      </c>
      <c r="F22" s="95">
        <f>F16-F21</f>
      </c>
      <c r="G22" s="95">
        <f>G16-G21</f>
      </c>
      <c r="H22" s="95">
        <f>H16-H21</f>
      </c>
      <c r="I22" s="95">
        <f>I16-I21</f>
      </c>
      <c r="J22" s="95">
        <f>J16-J21</f>
      </c>
      <c r="K22" s="95">
        <f>K16-K21</f>
      </c>
      <c r="L22" s="95">
        <f>L16-L21</f>
      </c>
      <c r="M22" s="95">
        <f>M16-M21</f>
      </c>
      <c r="N22" s="95">
        <f>N16-N21</f>
      </c>
      <c r="O22" s="95">
        <f>SUM(C22:N22)</f>
      </c>
      <c r="P22" s="96">
        <f>O22/$O$16</f>
      </c>
      <c r="Q22" s="1"/>
    </row>
    <row r="23"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91"/>
      <c r="Q23" s="1"/>
    </row>
    <row r="24">
      <c r="B24" s="102" t="str">
        <v>合计毛利率</v>
      </c>
      <c r="C24" s="101">
        <f>IFERROR(1-C21/C16,0)</f>
      </c>
      <c r="D24" s="101">
        <f>IFERROR(1-D21/D16,0)</f>
      </c>
      <c r="E24" s="101">
        <f>IFERROR(1-E21/E16,0)</f>
      </c>
      <c r="F24" s="101">
        <f>IFERROR(1-F21/F16,0)</f>
      </c>
      <c r="G24" s="101">
        <f>IFERROR(1-G21/G16,0)</f>
      </c>
      <c r="H24" s="101">
        <f>IFERROR(1-H21/H16,0)</f>
      </c>
      <c r="I24" s="101">
        <f>IFERROR(1-I21/I16,0)</f>
      </c>
      <c r="J24" s="101">
        <f>IFERROR(1-J21/J16,0)</f>
      </c>
      <c r="K24" s="101">
        <f>IFERROR(1-K21/K16,0)</f>
      </c>
      <c r="L24" s="101">
        <f>IFERROR(1-L21/L16,0)</f>
      </c>
      <c r="M24" s="101">
        <f>IFERROR(1-M21/M16,0)</f>
      </c>
      <c r="N24" s="101">
        <f>IFERROR(1-N21/N16,0)</f>
      </c>
      <c r="O24" s="101">
        <f>IFERROR(1-O21/O16,0)</f>
      </c>
      <c r="P24" s="91"/>
      <c r="Q24" s="1"/>
    </row>
    <row r="25"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91"/>
      <c r="Q25" s="1"/>
    </row>
    <row r="26">
      <c r="B26" s="85" t="str">
        <v>品牌及内容费用</v>
      </c>
      <c r="C26" s="84">
        <f>SUM(C27:C31)</f>
      </c>
      <c r="D26" s="84">
        <f>SUM(D27:D31)</f>
      </c>
      <c r="E26" s="84">
        <f>SUM(E27:E31)</f>
      </c>
      <c r="F26" s="84">
        <f>SUM(F27:F31)</f>
      </c>
      <c r="G26" s="84">
        <f>SUM(G27:G31)</f>
      </c>
      <c r="H26" s="84">
        <f>SUM(H27:H31)</f>
      </c>
      <c r="I26" s="84">
        <f>SUM(I27:I31)</f>
      </c>
      <c r="J26" s="84">
        <f>SUM(J27:J31)</f>
      </c>
      <c r="K26" s="84">
        <f>SUM(K27:K31)</f>
      </c>
      <c r="L26" s="84">
        <f>SUM(L27:L31)</f>
      </c>
      <c r="M26" s="84">
        <f>SUM(M27:M31)</f>
      </c>
      <c r="N26" s="84">
        <f>SUM(N27:N31)</f>
      </c>
      <c r="O26" s="84">
        <f>SUM(C26:N26)</f>
      </c>
      <c r="P26" s="86">
        <f>O26/$O$16</f>
      </c>
      <c r="Q26" s="1"/>
    </row>
    <row r="27">
      <c r="A27" s="88"/>
      <c r="B27" s="90" t="str">
        <v>展会</v>
      </c>
      <c r="C27" s="89">
        <v>0</v>
      </c>
      <c r="D27" s="89">
        <v>0</v>
      </c>
      <c r="E27" s="89">
        <v>1823.2320986711052</v>
      </c>
      <c r="F27" s="89">
        <v>1525.1151751979687</v>
      </c>
      <c r="G27" s="89">
        <v>3240.5896176425954</v>
      </c>
      <c r="H27" s="89">
        <v>2854.781300303747</v>
      </c>
      <c r="I27" s="89">
        <v>1845.7644371079646</v>
      </c>
      <c r="J27" s="89">
        <v>2542.53641028281</v>
      </c>
      <c r="K27" s="89">
        <v>2026.6678141015345</v>
      </c>
      <c r="L27" s="89">
        <v>3406.128039215803</v>
      </c>
      <c r="M27" s="89">
        <v>2593.068539223822</v>
      </c>
      <c r="N27" s="89">
        <v>0</v>
      </c>
      <c r="O27" s="88">
        <f>SUM(C27:N27)</f>
      </c>
      <c r="P27" s="91">
        <f>O27/$O$16</f>
      </c>
      <c r="Q27" s="90"/>
    </row>
    <row r="28">
      <c r="A28" s="88"/>
      <c r="B28" s="90" t="str">
        <v>品牌营销</v>
      </c>
      <c r="C28" s="89">
        <v>0</v>
      </c>
      <c r="D28" s="89">
        <v>0</v>
      </c>
      <c r="E28" s="89">
        <v>0</v>
      </c>
      <c r="F28" s="89">
        <v>1830.1382102375626</v>
      </c>
      <c r="G28" s="89">
        <v>19443.53770585557</v>
      </c>
      <c r="H28" s="89">
        <v>9135.30016097199</v>
      </c>
      <c r="I28" s="89">
        <v>0</v>
      </c>
      <c r="J28" s="89">
        <v>3051.043692339372</v>
      </c>
      <c r="K28" s="89">
        <v>6485.33700512491</v>
      </c>
      <c r="L28" s="89">
        <v>4087.3536470589634</v>
      </c>
      <c r="M28" s="89">
        <v>3111.682247068587</v>
      </c>
      <c r="N28" s="89">
        <v>0</v>
      </c>
      <c r="O28" s="88">
        <f>SUM(C28:N28)</f>
      </c>
      <c r="P28" s="91">
        <f>O28/$O$16</f>
      </c>
      <c r="Q28" s="90"/>
    </row>
    <row r="29">
      <c r="A29" s="88"/>
      <c r="B29" s="90" t="str">
        <v>内容素材制作</v>
      </c>
      <c r="C29" s="89">
        <v>893.5911216702755</v>
      </c>
      <c r="D29" s="89">
        <v>729.2400395138972</v>
      </c>
      <c r="E29" s="89">
        <v>729.2928394684421</v>
      </c>
      <c r="F29" s="89">
        <v>3050.2303503959374</v>
      </c>
      <c r="G29" s="89">
        <v>19443.53770585557</v>
      </c>
      <c r="H29" s="89">
        <v>12561.037721336488</v>
      </c>
      <c r="I29" s="89">
        <v>0</v>
      </c>
      <c r="J29" s="89">
        <v>3051.043692339372</v>
      </c>
      <c r="K29" s="89">
        <v>6485.33700512491</v>
      </c>
      <c r="L29" s="89">
        <v>6812.256078431606</v>
      </c>
      <c r="M29" s="89">
        <v>5186.137078447644</v>
      </c>
      <c r="N29" s="89">
        <v>906.8995654432227</v>
      </c>
      <c r="O29" s="88">
        <f>SUM(C29:N29)</f>
      </c>
      <c r="P29" s="91">
        <f>O29/$O$16</f>
      </c>
      <c r="Q29" s="1"/>
    </row>
    <row r="30">
      <c r="A30" s="88"/>
      <c r="B30" s="90" t="str">
        <v>公关费用</v>
      </c>
      <c r="C30" s="89">
        <v>893.5911216702755</v>
      </c>
      <c r="D30" s="89">
        <v>729.2400395138972</v>
      </c>
      <c r="E30" s="89">
        <v>5834.342715747537</v>
      </c>
      <c r="F30" s="89">
        <v>610.0460700791875</v>
      </c>
      <c r="G30" s="89">
        <v>3888.7075411711144</v>
      </c>
      <c r="H30" s="89">
        <v>1141.9125201214988</v>
      </c>
      <c r="I30" s="89">
        <v>738.3057748431859</v>
      </c>
      <c r="J30" s="89">
        <v>1017.0145641131242</v>
      </c>
      <c r="K30" s="89">
        <v>810.6671256406138</v>
      </c>
      <c r="L30" s="89">
        <v>2724.9024313726427</v>
      </c>
      <c r="M30" s="89">
        <v>2074.4548313790583</v>
      </c>
      <c r="N30" s="89">
        <v>906.8995654432227</v>
      </c>
      <c r="O30" s="88">
        <f>SUM(C30:N30)</f>
      </c>
      <c r="P30" s="91">
        <f>O30/$O$16</f>
      </c>
      <c r="Q30" s="1"/>
    </row>
    <row collapsed="true" r="31">
      <c r="A31" s="88"/>
      <c r="B31" s="90" t="str">
        <v>达人种草、样机及加热</v>
      </c>
      <c r="C31" s="89">
        <v>8935.911216702754</v>
      </c>
      <c r="D31" s="89">
        <v>36462.00197569487</v>
      </c>
      <c r="E31" s="89">
        <v>58343.427157475366</v>
      </c>
      <c r="F31" s="89">
        <v>30502.303503959374</v>
      </c>
      <c r="G31" s="89">
        <v>116661.22623513344</v>
      </c>
      <c r="H31" s="89">
        <v>68514.75120728991</v>
      </c>
      <c r="I31" s="89">
        <v>14766.115496863717</v>
      </c>
      <c r="J31" s="89">
        <v>20340.29128226248</v>
      </c>
      <c r="K31" s="89">
        <v>8106.671256406138</v>
      </c>
      <c r="L31" s="89">
        <v>68122.56078431607</v>
      </c>
      <c r="M31" s="89">
        <v>20744.548313790576</v>
      </c>
      <c r="N31" s="89">
        <v>18137.991308864457</v>
      </c>
      <c r="O31" s="88">
        <f>SUM(C31:N31)</f>
      </c>
      <c r="P31" s="91">
        <f>O31/$O$16</f>
      </c>
      <c r="Q31" s="1"/>
    </row>
    <row hidden="true" outlineLevel="1" r="32">
      <c r="A32" s="88"/>
      <c r="B32" s="90" t="str">
        <v>展会(费率)</v>
      </c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91"/>
      <c r="Q32" s="1"/>
    </row>
    <row hidden="true" outlineLevel="1" r="33">
      <c r="A33" s="88"/>
      <c r="B33" s="90" t="str">
        <v>品牌营销（费率）</v>
      </c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91"/>
      <c r="Q33" s="1"/>
    </row>
    <row hidden="true" outlineLevel="1" r="34">
      <c r="A34" s="88"/>
      <c r="B34" s="90" t="str">
        <v>内容素材制作（费率）</v>
      </c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91"/>
      <c r="Q34" s="1"/>
    </row>
    <row hidden="true" outlineLevel="1" r="35">
      <c r="A35" s="88"/>
      <c r="B35" s="90" t="str">
        <v>公关费用（费率）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91"/>
      <c r="Q35" s="1"/>
    </row>
    <row hidden="true" outlineLevel="1" r="36">
      <c r="A36" s="88"/>
      <c r="B36" s="90" t="str">
        <v>达人种草、样机及加热（费率）</v>
      </c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88"/>
      <c r="P36" s="91"/>
      <c r="Q36" s="1"/>
    </row>
    <row r="37">
      <c r="B37" s="85" t="str">
        <v>效果广告</v>
      </c>
      <c r="C37" s="84">
        <f>SUM(C38:C40)</f>
      </c>
      <c r="D37" s="84">
        <f>SUM(D38:D40)</f>
      </c>
      <c r="E37" s="84">
        <f>SUM(E38:E40)</f>
      </c>
      <c r="F37" s="84">
        <f>SUM(F38:F40)</f>
      </c>
      <c r="G37" s="84">
        <f>SUM(G38:G40)</f>
      </c>
      <c r="H37" s="84">
        <f>SUM(H38:H40)</f>
      </c>
      <c r="I37" s="84">
        <f>SUM(I38:I40)</f>
      </c>
      <c r="J37" s="84">
        <f>SUM(J38:J40)</f>
      </c>
      <c r="K37" s="84">
        <f>SUM(K38:K40)</f>
      </c>
      <c r="L37" s="84">
        <f>SUM(L38:L40)</f>
      </c>
      <c r="M37" s="84">
        <f>SUM(M38:M40)</f>
      </c>
      <c r="N37" s="84">
        <f>SUM(N38:N40)</f>
      </c>
      <c r="O37" s="84">
        <f>SUM(C37:N37)</f>
      </c>
      <c r="P37" s="86">
        <f>O37/$O$16</f>
      </c>
      <c r="Q37" s="1"/>
    </row>
    <row r="38">
      <c r="A38" s="88"/>
      <c r="B38" s="90" t="str">
        <v>站内投放</v>
      </c>
      <c r="C38" s="99">
        <v>133333.66529245273</v>
      </c>
      <c r="D38" s="99">
        <v>189980.62730088498</v>
      </c>
      <c r="E38" s="99">
        <v>122928.64119469028</v>
      </c>
      <c r="F38" s="99">
        <v>111753.31017699116</v>
      </c>
      <c r="G38" s="99">
        <v>241387.14998230088</v>
      </c>
      <c r="H38" s="99">
        <v>248092.34859292037</v>
      </c>
      <c r="I38" s="99">
        <v>138574.10461946903</v>
      </c>
      <c r="J38" s="99">
        <v>257802.92096418442</v>
      </c>
      <c r="K38" s="99">
        <v>134103.97221238937</v>
      </c>
      <c r="L38" s="99">
        <v>241387.14998230088</v>
      </c>
      <c r="M38" s="99">
        <v>248092.34859292037</v>
      </c>
      <c r="N38" s="99">
        <v>167629.96526548674</v>
      </c>
      <c r="O38" s="88">
        <f>SUM(C38:N38)</f>
      </c>
      <c r="P38" s="91">
        <f>O38/$O$16</f>
      </c>
      <c r="Q38" s="1" t="str">
        <v>投放填写</v>
      </c>
    </row>
    <row r="39">
      <c r="A39" s="88"/>
      <c r="B39" s="90" t="str">
        <v>千川投放</v>
      </c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88">
        <f>SUM(C39:N39)</f>
      </c>
      <c r="P39" s="91">
        <f>O39/$O$16</f>
      </c>
      <c r="Q39" s="1" t="str">
        <v>投放填写</v>
      </c>
    </row>
    <row collapsed="true" r="40">
      <c r="A40" s="88"/>
      <c r="B40" s="90" t="str">
        <v>站外投放</v>
      </c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88">
        <f>SUM(C40:N40)</f>
      </c>
      <c r="P40" s="91">
        <f>O40/$O$16</f>
      </c>
      <c r="Q40" s="1" t="str">
        <v>投放填写</v>
      </c>
    </row>
    <row hidden="true" outlineLevel="1" r="41">
      <c r="A41" s="88"/>
      <c r="B41" s="90" t="str">
        <v>站内投放（费率）</v>
      </c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91">
        <f>O38/$O$16</f>
      </c>
      <c r="Q41" s="1" t="str">
        <v>投放填写</v>
      </c>
    </row>
    <row hidden="true" outlineLevel="1" r="42">
      <c r="A42" s="88"/>
      <c r="B42" s="90" t="str">
        <v>千川投放（费率）</v>
      </c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91">
        <f>O39/$O$16</f>
      </c>
      <c r="Q42" s="1" t="str">
        <v>投放填写</v>
      </c>
    </row>
    <row hidden="true" outlineLevel="1" r="43">
      <c r="A43" s="88"/>
      <c r="B43" s="90" t="str">
        <v>站外投放（费率）</v>
      </c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91">
        <f>O40/$O$16</f>
      </c>
      <c r="Q43" s="1" t="str">
        <v>投放填写</v>
      </c>
    </row>
    <row r="44">
      <c r="B44" s="85" t="str">
        <v>线上营销费用</v>
      </c>
      <c r="C44" s="84">
        <f>SUM(C45:C46)</f>
      </c>
      <c r="D44" s="84">
        <f>SUM(D45:D46)</f>
      </c>
      <c r="E44" s="84">
        <f>SUM(E45:E46)</f>
      </c>
      <c r="F44" s="84">
        <f>SUM(F45:F46)</f>
      </c>
      <c r="G44" s="84">
        <f>SUM(G45:G46)</f>
      </c>
      <c r="H44" s="84">
        <f>SUM(H45:H46)</f>
      </c>
      <c r="I44" s="84">
        <f>SUM(I45:I46)</f>
      </c>
      <c r="J44" s="84">
        <f>SUM(J45:J46)</f>
      </c>
      <c r="K44" s="84">
        <f>SUM(K45:K46)</f>
      </c>
      <c r="L44" s="84">
        <f>SUM(L45:L46)</f>
      </c>
      <c r="M44" s="84">
        <f>SUM(M45:M46)</f>
      </c>
      <c r="N44" s="84">
        <f>SUM(N45:N46)</f>
      </c>
      <c r="O44" s="84">
        <f>SUM(C44:N44)</f>
      </c>
      <c r="P44" s="86">
        <f>O44/$O$16</f>
      </c>
      <c r="Q44" s="1"/>
    </row>
    <row r="45">
      <c r="A45" s="88"/>
      <c r="B45" s="90" t="str">
        <v>直播费用</v>
      </c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8"/>
      <c r="P45" s="91">
        <v>0.01</v>
      </c>
      <c r="Q45" s="1" t="str">
        <v>达人填写</v>
      </c>
    </row>
    <row r="46">
      <c r="A46" s="88"/>
      <c r="B46" s="90" t="str">
        <v>赠品费用</v>
      </c>
      <c r="C46" s="89">
        <f>C16*$P$46</f>
      </c>
      <c r="D46" s="89">
        <f>D16*$P$46</f>
      </c>
      <c r="E46" s="89">
        <f>E16*$P$46</f>
      </c>
      <c r="F46" s="89">
        <f>F16*$P$46</f>
      </c>
      <c r="G46" s="89">
        <f>G16*$P$46</f>
      </c>
      <c r="H46" s="89">
        <f>H16*$P$46</f>
      </c>
      <c r="I46" s="89">
        <f>I16*$P$46</f>
      </c>
      <c r="J46" s="89">
        <f>J16*$P$46</f>
      </c>
      <c r="K46" s="89">
        <f>K16*$P$46</f>
      </c>
      <c r="L46" s="89">
        <f>L16*$P$46</f>
      </c>
      <c r="M46" s="89">
        <f>M16*$P$46</f>
      </c>
      <c r="N46" s="89">
        <f>N16*$P$46</f>
      </c>
      <c r="O46" s="88">
        <f>SUM(C46:N46)</f>
      </c>
      <c r="P46" s="91">
        <v>0.02</v>
      </c>
      <c r="Q46" s="90" t="str">
        <v>渠道填写</v>
      </c>
    </row>
    <row r="47">
      <c r="B47" s="85" t="str">
        <v>线下市场费用</v>
      </c>
      <c r="C47" s="84">
        <f>SUM(C48:C51)</f>
      </c>
      <c r="D47" s="84">
        <f>SUM(D48:D51)</f>
      </c>
      <c r="E47" s="84">
        <f>SUM(E48:E51)</f>
      </c>
      <c r="F47" s="84">
        <f>SUM(F48:F51)</f>
      </c>
      <c r="G47" s="84">
        <f>SUM(G48:G51)</f>
      </c>
      <c r="H47" s="84">
        <f>SUM(H48:H51)</f>
      </c>
      <c r="I47" s="84">
        <f>SUM(I48:I51)</f>
      </c>
      <c r="J47" s="84">
        <f>SUM(J48:J51)</f>
      </c>
      <c r="K47" s="84">
        <f>SUM(K48:K51)</f>
      </c>
      <c r="L47" s="84">
        <f>SUM(L48:L51)</f>
      </c>
      <c r="M47" s="84">
        <f>SUM(M48:M51)</f>
      </c>
      <c r="N47" s="84">
        <f>SUM(N48:N51)</f>
      </c>
      <c r="O47" s="84">
        <f>SUM(C47:N47)</f>
      </c>
      <c r="P47" s="86">
        <f>O47/$O$16</f>
      </c>
      <c r="Q47" s="1"/>
    </row>
    <row r="48">
      <c r="A48" s="88"/>
      <c r="B48" s="90" t="str">
        <v>线下渠道展陈、促销费用</v>
      </c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8">
        <f>SUM(C48:N48)</f>
      </c>
      <c r="P48" s="91">
        <f>O48/$O$16</f>
      </c>
      <c r="Q48" s="90" t="str">
        <v>线下门店</v>
      </c>
    </row>
    <row r="49">
      <c r="A49" s="88"/>
      <c r="B49" s="90" t="str">
        <v>租金+物业+水电</v>
      </c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8">
        <f>SUM(C49:N49)</f>
      </c>
      <c r="P49" s="91">
        <f>O49/$O$16</f>
      </c>
      <c r="Q49" s="90" t="str">
        <v>线下门店</v>
      </c>
    </row>
    <row r="50">
      <c r="A50" s="88"/>
      <c r="B50" s="90" t="str">
        <v>门店人工</v>
      </c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8">
        <f>SUM(C50:N50)</f>
      </c>
      <c r="P50" s="91">
        <f>O50/$O$16</f>
      </c>
      <c r="Q50" s="90" t="str">
        <v>线下门店</v>
      </c>
    </row>
    <row r="51">
      <c r="B51" s="90" t="str">
        <v>门店展陈装修等其他</v>
      </c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8">
        <f>SUM(C51:N51)</f>
      </c>
      <c r="P51" s="91">
        <f>O51/$O$16</f>
      </c>
      <c r="Q51" s="90" t="str">
        <v>线下门店</v>
      </c>
    </row>
    <row r="52">
      <c r="B52" s="83" t="str">
        <v>市场投入费用</v>
      </c>
      <c r="C52" s="81">
        <f>SUM(C26,C37,C44,C47)</f>
      </c>
      <c r="D52" s="81">
        <f>SUM(D26,D37,D44,D47)</f>
      </c>
      <c r="E52" s="81">
        <f>SUM(E26,E37,E44,E47)</f>
      </c>
      <c r="F52" s="81">
        <f>SUM(F26,F37,F44,F47)</f>
      </c>
      <c r="G52" s="81">
        <f>SUM(G26,G37,G44,G47)</f>
      </c>
      <c r="H52" s="81">
        <f>SUM(H26,H37,H44,H47)</f>
      </c>
      <c r="I52" s="81">
        <f>SUM(I26,I37,I44,I47)</f>
      </c>
      <c r="J52" s="81">
        <f>SUM(J26,J37,J44,J47)</f>
      </c>
      <c r="K52" s="81">
        <f>SUM(K26,K37,K44,K47)</f>
      </c>
      <c r="L52" s="81">
        <f>SUM(L26,L37,L44,L47)</f>
      </c>
      <c r="M52" s="81">
        <f>SUM(M26,M37,M44,M47)</f>
      </c>
      <c r="N52" s="81">
        <f>SUM(N26,N37,N44,N47)</f>
      </c>
      <c r="O52" s="81">
        <f>SUM(C52:N52)</f>
      </c>
      <c r="P52" s="82">
        <f>O52/$O$16</f>
      </c>
      <c r="Q52" s="1"/>
    </row>
    <row r="53">
      <c r="A53" s="88"/>
      <c r="B53" s="90" t="str">
        <v>平台佣金</v>
      </c>
      <c r="C53" s="89">
        <f>C16*$P$53</f>
      </c>
      <c r="D53" s="89">
        <f>D16*$P$53</f>
      </c>
      <c r="E53" s="89">
        <f>E16*$P$53</f>
      </c>
      <c r="F53" s="89">
        <f>F16*$P$53</f>
      </c>
      <c r="G53" s="89">
        <f>G16*$P$53</f>
      </c>
      <c r="H53" s="89">
        <f>H16*$P$53</f>
      </c>
      <c r="I53" s="89">
        <f>I16*$P$53</f>
      </c>
      <c r="J53" s="89">
        <f>J16*$P$53</f>
      </c>
      <c r="K53" s="89">
        <f>K16*$P$53</f>
      </c>
      <c r="L53" s="89">
        <f>L16*$P$53</f>
      </c>
      <c r="M53" s="89">
        <f>M16*$P$53</f>
      </c>
      <c r="N53" s="89">
        <f>N16*$P$53</f>
      </c>
      <c r="O53" s="88">
        <f>SUM(C53:N53)</f>
      </c>
      <c r="P53" s="91">
        <v>0.03</v>
      </c>
      <c r="Q53" s="1"/>
    </row>
    <row r="54">
      <c r="A54" s="88"/>
      <c r="B54" s="90" t="str">
        <v>平台其他费用</v>
      </c>
      <c r="C54" s="89">
        <f>C16*$P$54</f>
      </c>
      <c r="D54" s="89">
        <f>D16*$P$54</f>
      </c>
      <c r="E54" s="89">
        <f>E16*$P$54</f>
      </c>
      <c r="F54" s="89">
        <f>F16*$P$54</f>
      </c>
      <c r="G54" s="89">
        <f>G16*$P$54</f>
      </c>
      <c r="H54" s="89">
        <f>H16*$P$54</f>
      </c>
      <c r="I54" s="89">
        <f>I16*$P$54</f>
      </c>
      <c r="J54" s="89">
        <f>J16*$P$54</f>
      </c>
      <c r="K54" s="89">
        <f>K16*$P$54</f>
      </c>
      <c r="L54" s="89">
        <f>L16*$P$54</f>
      </c>
      <c r="M54" s="89">
        <f>M16*$P$54</f>
      </c>
      <c r="N54" s="89">
        <f>N16*$P$54</f>
      </c>
      <c r="O54" s="88">
        <f>SUM(C54:N54)</f>
      </c>
      <c r="P54" s="91">
        <v>0.014</v>
      </c>
      <c r="Q54" s="1"/>
    </row>
    <row r="55">
      <c r="A55" s="88"/>
      <c r="B55" s="90" t="str">
        <v>售后费用</v>
      </c>
      <c r="C55" s="89">
        <v>57622.55780876737</v>
      </c>
      <c r="D55" s="89">
        <v>37680.04056322679</v>
      </c>
      <c r="E55" s="89">
        <v>29390.138214613537</v>
      </c>
      <c r="F55" s="89">
        <v>45229.75455467374</v>
      </c>
      <c r="G55" s="89">
        <v>38843.18590450128</v>
      </c>
      <c r="H55" s="89">
        <v>27212.332430740822</v>
      </c>
      <c r="I55" s="89">
        <v>37914.316736693814</v>
      </c>
      <c r="J55" s="89">
        <v>29332.516802142833</v>
      </c>
      <c r="K55" s="89">
        <v>40418.35297839287</v>
      </c>
      <c r="L55" s="89">
        <v>31903.282620896225</v>
      </c>
      <c r="M55" s="89">
        <v>27943.548973092697</v>
      </c>
      <c r="N55" s="89">
        <v>27263.872643504492</v>
      </c>
      <c r="O55" s="88">
        <f>SUM(C55:N55)</f>
      </c>
      <c r="P55" s="91">
        <v>0.03</v>
      </c>
      <c r="Q55" s="1"/>
    </row>
    <row r="56">
      <c r="A56" s="88"/>
      <c r="B56" s="90" t="str">
        <v>短信及店铺软件</v>
      </c>
      <c r="C56" s="89">
        <f>C16*$P$56</f>
      </c>
      <c r="D56" s="89">
        <f>D16*$P$56</f>
      </c>
      <c r="E56" s="89">
        <f>E16*$P$56</f>
      </c>
      <c r="F56" s="89">
        <f>F16*$P$56</f>
      </c>
      <c r="G56" s="89">
        <f>G16*$P$56</f>
      </c>
      <c r="H56" s="89">
        <f>H16*$P$56</f>
      </c>
      <c r="I56" s="89">
        <f>I16*$P$56</f>
      </c>
      <c r="J56" s="89">
        <f>J16*$P$56</f>
      </c>
      <c r="K56" s="89">
        <f>K16*$P$56</f>
      </c>
      <c r="L56" s="89">
        <f>L16*$P$56</f>
      </c>
      <c r="M56" s="89">
        <f>M16*$P$56</f>
      </c>
      <c r="N56" s="89">
        <f>N16*$P$56</f>
      </c>
      <c r="O56" s="88">
        <f>SUM(C56:N56)</f>
      </c>
      <c r="P56" s="91">
        <v>0.001</v>
      </c>
      <c r="Q56" s="1"/>
    </row>
    <row r="57">
      <c r="A57" s="88"/>
      <c r="B57" s="90" t="str">
        <v>其他运营费用（咨询调研等）</v>
      </c>
      <c r="C57" s="89">
        <v>6817.898491930096</v>
      </c>
      <c r="E57" s="89"/>
      <c r="F57" s="89"/>
      <c r="G57" s="89">
        <v>2727.1593967720382</v>
      </c>
      <c r="H57" s="89"/>
      <c r="I57" s="89"/>
      <c r="J57" s="89"/>
      <c r="K57" s="89"/>
      <c r="L57" s="89">
        <v>2727.1593967720382</v>
      </c>
      <c r="M57" s="89"/>
      <c r="N57" s="89">
        <v>8181.478190316115</v>
      </c>
      <c r="O57" s="88">
        <f>SUM(C57:N57)</f>
      </c>
      <c r="P57" s="91">
        <f>O57/$O$16</f>
      </c>
      <c r="Q57" s="90"/>
    </row>
    <row r="58">
      <c r="B58" s="83" t="str">
        <v>店铺运营费用</v>
      </c>
      <c r="C58" s="81">
        <f>SUM(C53:C57)</f>
      </c>
      <c r="D58" s="81">
        <f>SUM(D53:D57)</f>
      </c>
      <c r="E58" s="81">
        <f>SUM(E53:E57)</f>
      </c>
      <c r="F58" s="81">
        <f>SUM(F53:F57)</f>
      </c>
      <c r="G58" s="81">
        <f>SUM(G53:G57)</f>
      </c>
      <c r="H58" s="81">
        <f>SUM(H53:H57)</f>
      </c>
      <c r="I58" s="81">
        <f>SUM(I53:I57)</f>
      </c>
      <c r="J58" s="81">
        <f>SUM(J53:J57)</f>
      </c>
      <c r="K58" s="81">
        <f>SUM(K53:K57)</f>
      </c>
      <c r="L58" s="81">
        <f>SUM(L53:L57)</f>
      </c>
      <c r="M58" s="81">
        <f>SUM(M53:M57)</f>
      </c>
      <c r="N58" s="81">
        <f>SUM(N53:N57)</f>
      </c>
      <c r="O58" s="81">
        <f>SUM(C58:N58)</f>
      </c>
      <c r="P58" s="82">
        <f>O58/$O$16</f>
      </c>
      <c r="Q58" s="1"/>
    </row>
    <row r="59">
      <c r="A59" s="97"/>
      <c r="B59" s="98" t="str">
        <v>A&amp;P 合计数</v>
      </c>
      <c r="C59" s="95">
        <f>SUM(C52,C58)</f>
      </c>
      <c r="D59" s="95">
        <f>SUM(D52,D58)</f>
      </c>
      <c r="E59" s="95">
        <f>SUM(E52,E58)</f>
      </c>
      <c r="F59" s="95">
        <f>SUM(F52,F58)</f>
      </c>
      <c r="G59" s="95">
        <f>SUM(G52,G58)</f>
      </c>
      <c r="H59" s="95">
        <f>SUM(H52,H58)</f>
      </c>
      <c r="I59" s="95">
        <f>SUM(I52,I58)</f>
      </c>
      <c r="J59" s="95">
        <f>SUM(J52,J58)</f>
      </c>
      <c r="K59" s="95">
        <f>SUM(K52,K58)</f>
      </c>
      <c r="L59" s="95">
        <f>SUM(L52,L58)</f>
      </c>
      <c r="M59" s="95">
        <f>SUM(M52,M58)</f>
      </c>
      <c r="N59" s="95">
        <f>SUM(N52,N58)</f>
      </c>
      <c r="O59" s="95">
        <f>SUM(C59:N59)</f>
      </c>
      <c r="P59" s="96">
        <f>O59/$O$16</f>
      </c>
      <c r="Q59" s="135"/>
      <c r="R59" s="106"/>
    </row>
    <row r="60">
      <c r="A60" s="97"/>
      <c r="B60" s="98" t="str">
        <v>店铺利润</v>
      </c>
      <c r="C60" s="95">
        <f>C22-C59</f>
      </c>
      <c r="D60" s="95">
        <f>D22-D59</f>
      </c>
      <c r="E60" s="95">
        <f>E22-E59</f>
      </c>
      <c r="F60" s="95">
        <f>F22-F59</f>
      </c>
      <c r="G60" s="95">
        <f>G22-G59</f>
      </c>
      <c r="H60" s="95">
        <f>H22-H59</f>
      </c>
      <c r="I60" s="95">
        <f>I22-I59</f>
      </c>
      <c r="J60" s="95">
        <f>J22-J59</f>
      </c>
      <c r="K60" s="95">
        <f>K22-K59</f>
      </c>
      <c r="L60" s="95">
        <f>L22-L59</f>
      </c>
      <c r="M60" s="95">
        <f>M22-M59</f>
      </c>
      <c r="N60" s="95">
        <f>N22-N59</f>
      </c>
      <c r="O60" s="95">
        <f>SUM(C60:N60)</f>
      </c>
      <c r="P60" s="96">
        <f>O60/$O$16</f>
      </c>
      <c r="Q60" s="135"/>
      <c r="R60" s="107"/>
    </row>
    <row r="61">
      <c r="Q61" s="1"/>
    </row>
    <row r="62">
      <c r="B62" s="179" t="str">
        <v>辅助计算</v>
      </c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58"/>
      <c r="Q62" s="1"/>
    </row>
    <row r="63">
      <c r="B63" s="181" t="str">
        <v>国补后价格(销量加权)</v>
      </c>
      <c r="C63" s="181">
        <v>366.6</v>
      </c>
      <c r="D63" s="181">
        <v>362.6</v>
      </c>
      <c r="E63" s="181">
        <v>362.8</v>
      </c>
      <c r="F63" s="181">
        <v>357</v>
      </c>
      <c r="G63" s="181">
        <v>376.4</v>
      </c>
      <c r="H63" s="181">
        <v>376.1</v>
      </c>
      <c r="I63" s="181">
        <v>401.9</v>
      </c>
      <c r="J63" s="181">
        <v>400.9</v>
      </c>
      <c r="K63" s="181">
        <v>401.8</v>
      </c>
      <c r="L63" s="181">
        <v>398.6</v>
      </c>
      <c r="M63" s="181">
        <v>397.7</v>
      </c>
      <c r="N63" s="181">
        <v>392.4</v>
      </c>
      <c r="Q63" s="1"/>
    </row>
    <row r="64">
      <c r="B64" s="181" t="str">
        <v>成本不含税（销量加权）</v>
      </c>
      <c r="C64" s="181">
        <v>158.8</v>
      </c>
      <c r="D64" s="181">
        <v>156.4</v>
      </c>
      <c r="E64" s="181">
        <v>165.1</v>
      </c>
      <c r="F64" s="181">
        <v>162.9</v>
      </c>
      <c r="G64" s="181">
        <v>153</v>
      </c>
      <c r="H64" s="181">
        <v>155.3</v>
      </c>
      <c r="I64" s="181">
        <v>153.3</v>
      </c>
      <c r="J64" s="181">
        <v>152.5</v>
      </c>
      <c r="K64" s="181">
        <v>150.2</v>
      </c>
      <c r="L64" s="181">
        <v>146.6</v>
      </c>
      <c r="M64" s="181">
        <v>142.9</v>
      </c>
      <c r="N64" s="181">
        <v>139.6</v>
      </c>
      <c r="Q64" s="1"/>
    </row>
    <row r="65">
      <c r="B65" s="179" t="str">
        <v>退后销量</v>
      </c>
      <c r="C65" s="178">
        <f>C8/C63</f>
      </c>
      <c r="D65" s="178">
        <f>D8/D63</f>
      </c>
      <c r="E65" s="178">
        <f>E8/E63</f>
      </c>
      <c r="F65" s="178">
        <f>F8/F63</f>
      </c>
      <c r="G65" s="178">
        <f>G8/G63</f>
      </c>
      <c r="H65" s="178">
        <f>H8/H63</f>
      </c>
      <c r="I65" s="178">
        <f>I8/I63</f>
      </c>
      <c r="J65" s="178">
        <f>J8/J63</f>
      </c>
      <c r="K65" s="178">
        <f>K8/K63</f>
      </c>
      <c r="L65" s="178">
        <f>L8/L63</f>
      </c>
      <c r="M65" s="178">
        <f>M8/M63</f>
      </c>
      <c r="N65" s="178">
        <f>N8/N63</f>
      </c>
      <c r="Q65" s="1"/>
    </row>
    <row r="66">
      <c r="Q66" s="1"/>
    </row>
    <row r="67">
      <c r="Q67" s="1"/>
    </row>
    <row r="68">
      <c r="Q68" s="1"/>
    </row>
    <row r="69">
      <c r="Q69" s="1"/>
    </row>
    <row r="70">
      <c r="Q70" s="1"/>
    </row>
    <row r="71">
      <c r="Q71" s="1"/>
    </row>
    <row r="72">
      <c r="Q72" s="1"/>
    </row>
    <row r="73">
      <c r="Q73" s="1"/>
    </row>
    <row r="74">
      <c r="Q74" s="1"/>
    </row>
    <row r="75">
      <c r="Q75" s="1"/>
    </row>
    <row r="76">
      <c r="Q76" s="1"/>
    </row>
    <row r="77">
      <c r="Q77" s="1"/>
    </row>
    <row r="78">
      <c r="Q78" s="1"/>
    </row>
    <row r="79">
      <c r="Q79" s="1"/>
    </row>
    <row r="80">
      <c r="Q80" s="1"/>
    </row>
    <row r="81">
      <c r="C81" s="158">
        <f>C16-C18-C20-C26-C37-C44-C47-C58-C60</f>
      </c>
      <c r="D81" s="158">
        <f>D16-D18-D20-D26-D37-D44-D47-D58-D60</f>
      </c>
      <c r="E81" s="158">
        <f>E16-E18-E20-E26-E37-E44-E47-E58-E60</f>
      </c>
      <c r="F81" s="158">
        <f>F16-F18-F20-F26-F37-F44-F47-F58-F60</f>
      </c>
      <c r="G81" s="158">
        <f>G16-G18-G20-G26-G37-G44-G47-G58-G60</f>
      </c>
      <c r="H81" s="158">
        <f>H16-H18-H20-H26-H37-H44-H47-H58-H60</f>
      </c>
      <c r="I81" s="158">
        <f>I16-I18-I20-I26-I37-I44-I47-I58-I60</f>
      </c>
      <c r="J81" s="158">
        <f>J16-J18-J20-J26-J37-J44-J47-J58-J60</f>
      </c>
      <c r="K81" s="158">
        <f>K16-K18-K20-K26-K37-K44-K47-K58-K60</f>
      </c>
      <c r="L81" s="158">
        <f>L16-L18-L20-L26-L37-L44-L47-L58-L60</f>
      </c>
      <c r="M81" s="158">
        <f>M16-M18-M20-M26-M37-M44-M47-M58-M60</f>
      </c>
      <c r="N81" s="158">
        <f>N16-N18-N20-N26-N37-N44-N47-N58-N60</f>
      </c>
      <c r="O81" s="158">
        <f>O16-O18-O20-O26-O37-O44-O47-O58-O60</f>
      </c>
      <c r="Q81" s="1"/>
    </row>
    <row r="82">
      <c r="C82" s="119">
        <f>C10-C11-C12-C13-C15</f>
      </c>
      <c r="D82" s="119">
        <f>D10-D11-D12-D13-D15</f>
      </c>
      <c r="E82" s="119">
        <f>E10-E11-E12-E13-E15</f>
      </c>
      <c r="F82" s="119">
        <f>F10-F11-F12-F13-F15</f>
      </c>
      <c r="G82" s="119">
        <f>G10-G11-G12-G13-G15</f>
      </c>
      <c r="H82" s="119">
        <f>H10-H11-H12-H13-H15</f>
      </c>
      <c r="I82" s="119">
        <f>I10-I11-I12-I13-I15</f>
      </c>
      <c r="J82" s="119">
        <f>J10-J11-J12-J13-J15</f>
      </c>
      <c r="K82" s="119">
        <f>K10-K11-K12-K13-K15</f>
      </c>
      <c r="L82" s="119">
        <f>L10-L11-L12-L13-L15</f>
      </c>
      <c r="M82" s="119">
        <f>M10-M11-M12-M13-M15</f>
      </c>
      <c r="N82" s="119">
        <f>N10-N11-N12-N13-N15</f>
      </c>
      <c r="O82" s="119">
        <f>O10-O11-O12-O13-O15</f>
      </c>
      <c r="Q82" s="1"/>
    </row>
    <row r="83">
      <c r="Q83" s="1"/>
    </row>
    <row r="84">
      <c r="Q84" s="1"/>
    </row>
    <row r="85">
      <c r="Q85" s="1"/>
    </row>
    <row r="86">
      <c r="Q86" s="1"/>
    </row>
    <row r="87">
      <c r="Q87" s="1"/>
    </row>
    <row r="88">
      <c r="Q88" s="1"/>
    </row>
    <row r="89">
      <c r="Q89" s="1"/>
    </row>
    <row r="90">
      <c r="Q90" s="1"/>
    </row>
    <row r="91">
      <c r="Q91" s="1"/>
    </row>
    <row r="92">
      <c r="Q92" s="1"/>
    </row>
    <row r="93">
      <c r="B93" s="1" t="str">
        <v>分摊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Q93" s="1"/>
    </row>
    <row r="94">
      <c r="B94" s="85" t="str">
        <v>品牌及内容费用</v>
      </c>
      <c r="C94" s="127">
        <f>SUM(C95:C99)</f>
      </c>
      <c r="D94" s="127">
        <f>SUM(D95:D99)</f>
      </c>
      <c r="E94" s="127">
        <f>SUM(E95:E99)</f>
      </c>
      <c r="F94" s="127">
        <f>SUM(F95:F99)</f>
      </c>
      <c r="G94" s="127">
        <f>SUM(G95:G99)</f>
      </c>
      <c r="H94" s="127">
        <f>SUM(H95:H99)</f>
      </c>
      <c r="I94" s="127">
        <f>SUM(I95:I99)</f>
      </c>
      <c r="J94" s="127">
        <f>SUM(J95:J99)</f>
      </c>
      <c r="K94" s="127">
        <f>SUM(K95:K99)</f>
      </c>
      <c r="L94" s="127">
        <f>SUM(L95:L99)</f>
      </c>
      <c r="M94" s="127">
        <f>SUM(M95:M99)</f>
      </c>
      <c r="N94" s="127">
        <f>SUM(N95:N99)</f>
      </c>
      <c r="Q94" s="1"/>
    </row>
    <row r="95">
      <c r="B95" s="90" t="str">
        <v>展会</v>
      </c>
      <c r="C95" s="170">
        <f>'线下门店-小计'!C27*(C15/('26年全渠道汇总'!C15-'线下门店-小计'!C15))</f>
      </c>
      <c r="D95" s="170">
        <f>'线下门店-小计'!D27*(D15/('26年全渠道汇总'!D15-'线下门店-小计'!D15))</f>
      </c>
      <c r="E95" s="170">
        <f>'线下门店-小计'!E27*(E15/('26年全渠道汇总'!E15-'线下门店-小计'!E15))</f>
      </c>
      <c r="F95" s="170">
        <f>'线下门店-小计'!F27*(F15/('26年全渠道汇总'!F15-'线下门店-小计'!F15))</f>
      </c>
      <c r="G95" s="170">
        <f>'线下门店-小计'!G27*(G15/('26年全渠道汇总'!G15-'线下门店-小计'!G15))</f>
      </c>
      <c r="H95" s="170">
        <f>'线下门店-小计'!H27*(H15/('26年全渠道汇总'!H15-'线下门店-小计'!H15))</f>
      </c>
      <c r="I95" s="170">
        <f>'线下门店-小计'!I27*(I15/('26年全渠道汇总'!I15-'线下门店-小计'!I15))</f>
      </c>
      <c r="J95" s="170">
        <f>'线下门店-小计'!J27*(J15/('26年全渠道汇总'!J15-'线下门店-小计'!J15))</f>
      </c>
      <c r="K95" s="170">
        <f>'线下门店-小计'!K27*(K15/('26年全渠道汇总'!K15-'线下门店-小计'!K15))</f>
      </c>
      <c r="L95" s="170">
        <f>'线下门店-小计'!L27*(L15/('26年全渠道汇总'!L15-'线下门店-小计'!L15))</f>
      </c>
      <c r="M95" s="170">
        <f>'线下门店-小计'!M27*(M15/('26年全渠道汇总'!M15-'线下门店-小计'!M15))</f>
      </c>
      <c r="N95" s="170">
        <f>'线下门店-小计'!N27*(N15/('26年全渠道汇总'!N15-'线下门店-小计'!N15))</f>
      </c>
      <c r="Q95" s="1"/>
    </row>
    <row r="96">
      <c r="B96" s="90" t="str">
        <v>品牌营销</v>
      </c>
      <c r="C96" s="170">
        <f>'线下门店-小计'!C28*(C15/('26年全渠道汇总'!C15-'线下门店-小计'!C15))</f>
      </c>
      <c r="D96" s="170">
        <f>'线下门店-小计'!D28*(D15/('26年全渠道汇总'!D15-'线下门店-小计'!D15))</f>
      </c>
      <c r="E96" s="170">
        <f>'线下门店-小计'!E28*(E15/('26年全渠道汇总'!E15-'线下门店-小计'!E15))</f>
      </c>
      <c r="F96" s="170">
        <f>'线下门店-小计'!F28*(F15/('26年全渠道汇总'!F15-'线下门店-小计'!F15))</f>
      </c>
      <c r="G96" s="170">
        <f>'线下门店-小计'!G28*(G15/('26年全渠道汇总'!G15-'线下门店-小计'!G15))</f>
      </c>
      <c r="H96" s="170">
        <f>'线下门店-小计'!H28*(H15/('26年全渠道汇总'!H15-'线下门店-小计'!H15))</f>
      </c>
      <c r="I96" s="170">
        <f>'线下门店-小计'!I28*(I15/('26年全渠道汇总'!I15-'线下门店-小计'!I15))</f>
      </c>
      <c r="J96" s="170">
        <f>'线下门店-小计'!J28*(J15/('26年全渠道汇总'!J15-'线下门店-小计'!J15))</f>
      </c>
      <c r="K96" s="170">
        <f>'线下门店-小计'!K28*(K15/('26年全渠道汇总'!K15-'线下门店-小计'!K15))</f>
      </c>
      <c r="L96" s="170">
        <f>'线下门店-小计'!L28*(L15/('26年全渠道汇总'!L15-'线下门店-小计'!L15))</f>
      </c>
      <c r="M96" s="170">
        <f>'线下门店-小计'!M28*(M15/('26年全渠道汇总'!M15-'线下门店-小计'!M15))</f>
      </c>
      <c r="N96" s="170">
        <f>'线下门店-小计'!N28*(N15/('26年全渠道汇总'!N15-'线下门店-小计'!N15))</f>
      </c>
      <c r="Q96" s="1"/>
    </row>
    <row r="97">
      <c r="B97" s="90" t="str">
        <v>内容素材制作</v>
      </c>
      <c r="C97" s="170">
        <f>'线下门店-小计'!C29*(C15/('26年全渠道汇总'!C15-'线下门店-小计'!C15))</f>
      </c>
      <c r="D97" s="170">
        <f>'线下门店-小计'!D29*(D15/('26年全渠道汇总'!D15-'线下门店-小计'!D15))</f>
      </c>
      <c r="E97" s="170">
        <f>'线下门店-小计'!E29*(E15/('26年全渠道汇总'!E15-'线下门店-小计'!E15))</f>
      </c>
      <c r="F97" s="170">
        <f>'线下门店-小计'!F29*(F15/('26年全渠道汇总'!F15-'线下门店-小计'!F15))</f>
      </c>
      <c r="G97" s="170">
        <f>'线下门店-小计'!G29*(G15/('26年全渠道汇总'!G15-'线下门店-小计'!G15))</f>
      </c>
      <c r="H97" s="170">
        <f>'线下门店-小计'!H29*(H15/('26年全渠道汇总'!H15-'线下门店-小计'!H15))</f>
      </c>
      <c r="I97" s="170">
        <f>'线下门店-小计'!I29*(I15/('26年全渠道汇总'!I15-'线下门店-小计'!I15))</f>
      </c>
      <c r="J97" s="170">
        <f>'线下门店-小计'!J29*(J15/('26年全渠道汇总'!J15-'线下门店-小计'!J15))</f>
      </c>
      <c r="K97" s="170">
        <f>'线下门店-小计'!K29*(K15/('26年全渠道汇总'!K15-'线下门店-小计'!K15))</f>
      </c>
      <c r="L97" s="170">
        <f>'线下门店-小计'!L29*(L15/('26年全渠道汇总'!L15-'线下门店-小计'!L15))</f>
      </c>
      <c r="M97" s="170">
        <f>'线下门店-小计'!M29*(M15/('26年全渠道汇总'!M15-'线下门店-小计'!M15))</f>
      </c>
      <c r="N97" s="170">
        <f>'线下门店-小计'!N29*(N15/('26年全渠道汇总'!N15-'线下门店-小计'!N15))</f>
      </c>
      <c r="Q97" s="1"/>
    </row>
    <row r="98">
      <c r="B98" s="90" t="str">
        <v>公关费用</v>
      </c>
      <c r="C98" s="170">
        <f>'线下门店-小计'!C30*(C15/('26年全渠道汇总'!C15-'线下门店-小计'!C15))</f>
      </c>
      <c r="D98" s="170">
        <f>'线下门店-小计'!D30*(D15/('26年全渠道汇总'!D15-'线下门店-小计'!D15))</f>
      </c>
      <c r="E98" s="170">
        <f>'线下门店-小计'!E30*(E15/('26年全渠道汇总'!E15-'线下门店-小计'!E15))</f>
      </c>
      <c r="F98" s="170">
        <f>'线下门店-小计'!F30*(F15/('26年全渠道汇总'!F15-'线下门店-小计'!F15))</f>
      </c>
      <c r="G98" s="170">
        <f>'线下门店-小计'!G30*(G15/('26年全渠道汇总'!G15-'线下门店-小计'!G15))</f>
      </c>
      <c r="H98" s="170">
        <f>'线下门店-小计'!H30*(H15/('26年全渠道汇总'!H15-'线下门店-小计'!H15))</f>
      </c>
      <c r="I98" s="170">
        <f>'线下门店-小计'!I30*(I15/('26年全渠道汇总'!I15-'线下门店-小计'!I15))</f>
      </c>
      <c r="J98" s="170">
        <f>'线下门店-小计'!J30*(J15/('26年全渠道汇总'!J15-'线下门店-小计'!J15))</f>
      </c>
      <c r="K98" s="170">
        <f>'线下门店-小计'!K30*(K15/('26年全渠道汇总'!K15-'线下门店-小计'!K15))</f>
      </c>
      <c r="L98" s="170">
        <f>'线下门店-小计'!L30*(L15/('26年全渠道汇总'!L15-'线下门店-小计'!L15))</f>
      </c>
      <c r="M98" s="170">
        <f>'线下门店-小计'!M30*(M15/('26年全渠道汇总'!M15-'线下门店-小计'!M15))</f>
      </c>
      <c r="N98" s="170">
        <f>'线下门店-小计'!N30*(N15/('26年全渠道汇总'!N15-'线下门店-小计'!N15))</f>
      </c>
      <c r="Q98" s="1"/>
    </row>
    <row r="99">
      <c r="B99" s="90" t="str">
        <v>达人种草、样机及加热</v>
      </c>
      <c r="C99" s="170">
        <f>'线下门店-小计'!C31*(C15/('26年全渠道汇总'!C15-'线下门店-小计'!C15))</f>
      </c>
      <c r="D99" s="170">
        <f>'线下门店-小计'!D31*(D15/('26年全渠道汇总'!D15-'线下门店-小计'!D15))</f>
      </c>
      <c r="E99" s="170">
        <f>'线下门店-小计'!E31*(E15/('26年全渠道汇总'!E15-'线下门店-小计'!E15))</f>
      </c>
      <c r="F99" s="170">
        <f>'线下门店-小计'!F31*(F15/('26年全渠道汇总'!F15-'线下门店-小计'!F15))</f>
      </c>
      <c r="G99" s="170">
        <f>'线下门店-小计'!G31*(G15/('26年全渠道汇总'!G15-'线下门店-小计'!G15))</f>
      </c>
      <c r="H99" s="170">
        <f>'线下门店-小计'!H31*(H15/('26年全渠道汇总'!H15-'线下门店-小计'!H15))</f>
      </c>
      <c r="I99" s="170">
        <f>'线下门店-小计'!I31*(I15/('26年全渠道汇总'!I15-'线下门店-小计'!I15))</f>
      </c>
      <c r="J99" s="170">
        <f>'线下门店-小计'!J31*(J15/('26年全渠道汇总'!J15-'线下门店-小计'!J15))</f>
      </c>
      <c r="K99" s="170">
        <f>'线下门店-小计'!K31*(K15/('26年全渠道汇总'!K15-'线下门店-小计'!K15))</f>
      </c>
      <c r="L99" s="170">
        <f>'线下门店-小计'!L31*(L15/('26年全渠道汇总'!L15-'线下门店-小计'!L15))</f>
      </c>
      <c r="M99" s="170">
        <f>'线下门店-小计'!M31*(M15/('26年全渠道汇总'!M15-'线下门店-小计'!M15))</f>
      </c>
      <c r="N99" s="170">
        <f>'线下门店-小计'!N31*(N15/('26年全渠道汇总'!N15-'线下门店-小计'!N15))</f>
      </c>
      <c r="Q99" s="1"/>
    </row>
    <row r="100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Q100" s="1"/>
    </row>
    <row r="101">
      <c r="B101" s="1" t="str">
        <v>总计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Q101" s="1"/>
    </row>
    <row r="102">
      <c r="B102" s="85" t="str">
        <v>品牌及内容费用</v>
      </c>
      <c r="C102" s="127">
        <f>SUM(C103:C107)</f>
      </c>
      <c r="D102" s="127">
        <f>SUM(D103:D107)</f>
      </c>
      <c r="E102" s="127">
        <f>SUM(E103:E107)</f>
      </c>
      <c r="F102" s="127">
        <f>SUM(F103:F107)</f>
      </c>
      <c r="G102" s="127">
        <f>SUM(G103:G107)</f>
      </c>
      <c r="H102" s="127">
        <f>SUM(H103:H107)</f>
      </c>
      <c r="I102" s="127">
        <f>SUM(I103:I107)</f>
      </c>
      <c r="J102" s="127">
        <f>SUM(J103:J107)</f>
      </c>
      <c r="K102" s="127">
        <f>SUM(K103:K107)</f>
      </c>
      <c r="L102" s="127">
        <f>SUM(L103:L107)</f>
      </c>
      <c r="M102" s="127">
        <f>SUM(M103:M107)</f>
      </c>
      <c r="N102" s="127">
        <f>SUM(N103:N107)</f>
      </c>
      <c r="Q102" s="1"/>
    </row>
    <row r="103">
      <c r="B103" s="90" t="str">
        <v>展会</v>
      </c>
      <c r="C103" s="170">
        <f>C95+C27</f>
      </c>
      <c r="D103" s="170">
        <f>D95+D27</f>
      </c>
      <c r="E103" s="170">
        <f>E95+E27</f>
      </c>
      <c r="F103" s="170">
        <f>F95+F27</f>
      </c>
      <c r="G103" s="170">
        <f>G95+G27</f>
      </c>
      <c r="H103" s="170">
        <f>H95+H27</f>
      </c>
      <c r="I103" s="170">
        <f>I95+I27</f>
      </c>
      <c r="J103" s="170">
        <f>J95+J27</f>
      </c>
      <c r="K103" s="170">
        <f>K95+K27</f>
      </c>
      <c r="L103" s="170">
        <f>L95+L27</f>
      </c>
      <c r="M103" s="170">
        <f>M95+M27</f>
      </c>
      <c r="N103" s="170">
        <f>N95+N27</f>
      </c>
      <c r="Q103" s="1"/>
    </row>
    <row r="104">
      <c r="B104" s="90" t="str">
        <v>品牌营销</v>
      </c>
      <c r="C104" s="170">
        <f>C96+C28</f>
      </c>
      <c r="D104" s="170">
        <f>D96+D28</f>
      </c>
      <c r="E104" s="170">
        <f>E96+E28</f>
      </c>
      <c r="F104" s="170">
        <f>F96+F28</f>
      </c>
      <c r="G104" s="170">
        <f>G96+G28</f>
      </c>
      <c r="H104" s="170">
        <f>H96+H28</f>
      </c>
      <c r="I104" s="170">
        <f>I96+I28</f>
      </c>
      <c r="J104" s="170">
        <f>J96+J28</f>
      </c>
      <c r="K104" s="170">
        <f>K96+K28</f>
      </c>
      <c r="L104" s="170">
        <f>L96+L28</f>
      </c>
      <c r="M104" s="170">
        <f>M96+M28</f>
      </c>
      <c r="N104" s="170">
        <f>N96+N28</f>
      </c>
      <c r="Q104" s="1"/>
    </row>
    <row r="105">
      <c r="B105" s="90" t="str">
        <v>内容素材制作</v>
      </c>
      <c r="C105" s="170">
        <f>C97+C29</f>
      </c>
      <c r="D105" s="170">
        <f>D97+D29</f>
      </c>
      <c r="E105" s="170">
        <f>E97+E29</f>
      </c>
      <c r="F105" s="170">
        <f>F97+F29</f>
      </c>
      <c r="G105" s="170">
        <f>G97+G29</f>
      </c>
      <c r="H105" s="170">
        <f>H97+H29</f>
      </c>
      <c r="I105" s="170">
        <f>I97+I29</f>
      </c>
      <c r="J105" s="170">
        <f>J97+J29</f>
      </c>
      <c r="K105" s="170">
        <f>K97+K29</f>
      </c>
      <c r="L105" s="170">
        <f>L97+L29</f>
      </c>
      <c r="M105" s="170">
        <f>M97+M29</f>
      </c>
      <c r="N105" s="170">
        <f>N97+N29</f>
      </c>
      <c r="Q105" s="1"/>
    </row>
    <row r="106">
      <c r="B106" s="90" t="str">
        <v>公关费用</v>
      </c>
      <c r="C106" s="170">
        <f>C98+C30</f>
      </c>
      <c r="D106" s="170">
        <f>D98+D30</f>
      </c>
      <c r="E106" s="170">
        <f>E98+E30</f>
      </c>
      <c r="F106" s="170">
        <f>F98+F30</f>
      </c>
      <c r="G106" s="170">
        <f>G98+G30</f>
      </c>
      <c r="H106" s="170">
        <f>H98+H30</f>
      </c>
      <c r="I106" s="170">
        <f>I98+I30</f>
      </c>
      <c r="J106" s="170">
        <f>J98+J30</f>
      </c>
      <c r="K106" s="170">
        <f>K98+K30</f>
      </c>
      <c r="L106" s="170">
        <f>L98+L30</f>
      </c>
      <c r="M106" s="170">
        <f>M98+M30</f>
      </c>
      <c r="N106" s="170">
        <f>N98+N30</f>
      </c>
      <c r="Q106" s="1"/>
    </row>
    <row r="107">
      <c r="B107" s="90" t="str">
        <v>达人种草、样机及加热</v>
      </c>
      <c r="C107" s="170">
        <f>C99+C31</f>
      </c>
      <c r="D107" s="170">
        <f>D99+D31</f>
      </c>
      <c r="E107" s="170">
        <f>E99+E31</f>
      </c>
      <c r="F107" s="170">
        <f>F99+F31</f>
      </c>
      <c r="G107" s="170">
        <f>G99+G31</f>
      </c>
      <c r="H107" s="170">
        <f>H99+H31</f>
      </c>
      <c r="I107" s="170">
        <f>I99+I31</f>
      </c>
      <c r="J107" s="170">
        <f>J99+J31</f>
      </c>
      <c r="K107" s="170">
        <f>K99+K31</f>
      </c>
      <c r="L107" s="170">
        <f>L99+L31</f>
      </c>
      <c r="M107" s="170">
        <f>M99+M31</f>
      </c>
      <c r="N107" s="170">
        <f>N99+N31</f>
      </c>
      <c r="Q107" s="1"/>
    </row>
    <row r="108">
      <c r="Q108" s="1"/>
    </row>
    <row r="109">
      <c r="Q109" s="1"/>
    </row>
    <row r="110">
      <c r="Q110" s="1"/>
    </row>
    <row r="111">
      <c r="Q111" s="1"/>
    </row>
    <row r="112">
      <c r="Q112" s="1"/>
    </row>
    <row r="113">
      <c r="Q113" s="1"/>
    </row>
    <row r="114">
      <c r="Q114" s="1"/>
    </row>
    <row r="115">
      <c r="Q115" s="1"/>
    </row>
    <row r="116">
      <c r="Q116" s="1"/>
    </row>
    <row r="117">
      <c r="Q117" s="1"/>
    </row>
    <row r="118">
      <c r="Q118" s="1"/>
    </row>
    <row r="119">
      <c r="Q119" s="1"/>
    </row>
    <row r="120">
      <c r="Q120" s="1"/>
    </row>
    <row r="121">
      <c r="Q121" s="1"/>
    </row>
    <row r="122">
      <c r="Q122" s="1"/>
    </row>
    <row r="123">
      <c r="Q123" s="1"/>
    </row>
    <row r="124">
      <c r="Q124" s="1"/>
    </row>
    <row r="125">
      <c r="Q125" s="1"/>
    </row>
    <row r="126">
      <c r="Q126" s="1"/>
    </row>
    <row r="127">
      <c r="Q127" s="1"/>
    </row>
    <row r="128">
      <c r="Q128" s="1"/>
    </row>
    <row r="129">
      <c r="Q129" s="1"/>
    </row>
    <row r="130">
      <c r="Q130" s="1"/>
    </row>
    <row r="131">
      <c r="Q131" s="1"/>
    </row>
    <row r="132">
      <c r="Q132" s="1"/>
    </row>
    <row r="133">
      <c r="Q133" s="1"/>
    </row>
    <row r="134">
      <c r="Q134" s="1"/>
    </row>
    <row r="135">
      <c r="Q135" s="1"/>
    </row>
    <row r="136">
      <c r="Q136" s="1"/>
    </row>
    <row r="137">
      <c r="Q137" s="1"/>
    </row>
    <row r="138">
      <c r="Q138" s="1"/>
    </row>
    <row r="139">
      <c r="Q139" s="1"/>
    </row>
    <row r="140">
      <c r="Q140" s="1"/>
    </row>
    <row r="141">
      <c r="Q141" s="1"/>
    </row>
    <row r="142">
      <c r="Q142" s="1"/>
    </row>
    <row r="143">
      <c r="Q143" s="1"/>
    </row>
    <row r="144">
      <c r="Q144" s="1"/>
    </row>
    <row r="145">
      <c r="Q145" s="1"/>
    </row>
    <row r="146">
      <c r="Q146" s="1"/>
    </row>
    <row r="147">
      <c r="Q147" s="1"/>
    </row>
    <row r="148">
      <c r="Q148" s="1"/>
    </row>
    <row r="149">
      <c r="Q149" s="1"/>
    </row>
    <row r="150">
      <c r="Q150" s="1"/>
    </row>
    <row r="151">
      <c r="Q151" s="1"/>
    </row>
    <row r="152">
      <c r="Q152" s="1"/>
    </row>
    <row r="153">
      <c r="Q153" s="1"/>
    </row>
    <row r="154">
      <c r="Q154" s="1"/>
    </row>
    <row r="155">
      <c r="Q155" s="1"/>
    </row>
    <row r="156">
      <c r="Q156" s="1"/>
    </row>
    <row r="157">
      <c r="Q157" s="1"/>
    </row>
    <row r="158">
      <c r="Q158" s="1"/>
    </row>
    <row r="159">
      <c r="Q159" s="1"/>
    </row>
    <row r="160">
      <c r="Q160" s="1"/>
    </row>
    <row r="161">
      <c r="Q161" s="1"/>
    </row>
    <row r="162">
      <c r="Q162" s="1"/>
    </row>
    <row r="163">
      <c r="Q163" s="1"/>
    </row>
    <row r="164">
      <c r="Q164" s="1"/>
    </row>
    <row r="165">
      <c r="Q165" s="1"/>
    </row>
    <row r="166">
      <c r="Q166" s="1"/>
    </row>
    <row r="167">
      <c r="Q167" s="1"/>
    </row>
    <row r="168">
      <c r="Q168" s="1"/>
    </row>
    <row r="169">
      <c r="Q169" s="1"/>
    </row>
    <row r="170">
      <c r="Q170" s="1"/>
    </row>
    <row r="171">
      <c r="Q171" s="1"/>
    </row>
    <row r="172">
      <c r="Q172" s="1"/>
    </row>
    <row r="173">
      <c r="Q173" s="1"/>
    </row>
    <row r="174">
      <c r="Q174" s="1"/>
    </row>
    <row r="175">
      <c r="Q175" s="1"/>
    </row>
    <row r="176">
      <c r="Q176" s="1"/>
    </row>
    <row r="177">
      <c r="Q177" s="1"/>
    </row>
    <row r="178">
      <c r="Q178" s="1"/>
    </row>
    <row r="179">
      <c r="Q179" s="1"/>
    </row>
    <row r="180">
      <c r="Q180" s="1"/>
    </row>
    <row r="181">
      <c r="Q181" s="1"/>
    </row>
    <row r="182">
      <c r="Q182" s="1"/>
    </row>
    <row r="183">
      <c r="Q183" s="1"/>
    </row>
    <row r="184">
      <c r="Q184" s="1"/>
    </row>
    <row r="185">
      <c r="Q185" s="1"/>
    </row>
    <row r="186">
      <c r="Q186" s="1"/>
    </row>
    <row r="187">
      <c r="Q187" s="1"/>
    </row>
    <row r="188">
      <c r="Q188" s="1"/>
    </row>
    <row r="189">
      <c r="Q189" s="1"/>
    </row>
    <row r="190">
      <c r="Q190" s="1"/>
    </row>
    <row r="191">
      <c r="Q191" s="1"/>
    </row>
    <row r="192">
      <c r="Q192" s="1"/>
    </row>
    <row r="193">
      <c r="Q193" s="1"/>
    </row>
    <row r="194">
      <c r="Q194" s="1"/>
    </row>
    <row r="195">
      <c r="Q195" s="1"/>
    </row>
    <row r="196">
      <c r="Q196" s="1"/>
    </row>
    <row r="197">
      <c r="Q197" s="1"/>
    </row>
    <row r="198">
      <c r="Q198" s="1"/>
    </row>
    <row r="199">
      <c r="Q199" s="1"/>
    </row>
    <row r="200">
      <c r="Q200" s="1"/>
    </row>
  </sheetData>
  <picture r:id="rId1"/>
</worksheet>
</file>

<file path=xl/worksheets/sheet19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</row>
    <row r="2">
      <c r="B2" s="90" t="str">
        <v>退后销量</v>
      </c>
      <c r="C2" s="88">
        <v>21238.079757211006</v>
      </c>
      <c r="D2" s="88">
        <v>19370.995822511137</v>
      </c>
      <c r="E2" s="88">
        <v>22638.392708235908</v>
      </c>
      <c r="F2" s="88">
        <v>18787.532092917427</v>
      </c>
      <c r="G2" s="88">
        <v>32790.661603166445</v>
      </c>
      <c r="H2" s="88">
        <v>28356.337258254254</v>
      </c>
      <c r="I2" s="88">
        <v>18437.453855161202</v>
      </c>
      <c r="J2" s="88">
        <v>23175.17933946212</v>
      </c>
      <c r="K2" s="88">
        <v>25555.71135620445</v>
      </c>
      <c r="L2" s="88">
        <v>33864.23486561887</v>
      </c>
      <c r="M2" s="88">
        <v>26325.88347926815</v>
      </c>
      <c r="N2" s="88">
        <v>23525.257577218345</v>
      </c>
      <c r="O2" s="88">
        <f>SUM(C2:N2)</f>
      </c>
      <c r="P2" s="88"/>
      <c r="Q2" s="1"/>
    </row>
    <row r="3">
      <c r="A3" s="97"/>
      <c r="B3" s="94" t="str">
        <v>自补前GMV</v>
      </c>
      <c r="C3" s="93">
        <v>8371561.609999999</v>
      </c>
      <c r="D3" s="93">
        <v>9374160.85</v>
      </c>
      <c r="E3" s="93">
        <v>7389699.37</v>
      </c>
      <c r="F3" s="93">
        <v>6586200.249999999</v>
      </c>
      <c r="G3" s="93">
        <v>12262102.269999998</v>
      </c>
      <c r="H3" s="93">
        <v>11248402.95</v>
      </c>
      <c r="I3" s="93">
        <v>8574559.04</v>
      </c>
      <c r="J3" s="93">
        <v>11066311.620000001</v>
      </c>
      <c r="K3" s="93">
        <v>8464628.91</v>
      </c>
      <c r="L3" s="93">
        <v>12470973.7</v>
      </c>
      <c r="M3" s="93">
        <v>14132143.570000002</v>
      </c>
      <c r="N3" s="93">
        <v>11787209.84</v>
      </c>
      <c r="O3" s="93">
        <f>SUM(C3:N3)</f>
      </c>
      <c r="P3" s="93"/>
      <c r="Q3" s="146" t="str">
        <v>渠道填写</v>
      </c>
    </row>
    <row r="4">
      <c r="A4" s="97"/>
      <c r="B4" s="94" t="str">
        <v>自补前GSV</v>
      </c>
      <c r="C4" s="93">
        <v>8749253</v>
      </c>
      <c r="D4" s="93">
        <v>9461973</v>
      </c>
      <c r="E4" s="93">
        <v>7458922</v>
      </c>
      <c r="F4" s="93">
        <v>6647896</v>
      </c>
      <c r="G4" s="93">
        <v>12336196</v>
      </c>
      <c r="H4" s="93">
        <v>11316371</v>
      </c>
      <c r="I4" s="93">
        <v>8626370</v>
      </c>
      <c r="J4" s="93">
        <v>11133178</v>
      </c>
      <c r="K4" s="93">
        <v>8515775</v>
      </c>
      <c r="L4" s="93">
        <v>12546330</v>
      </c>
      <c r="M4" s="93">
        <v>14217537</v>
      </c>
      <c r="N4" s="93">
        <v>11858433</v>
      </c>
      <c r="O4" s="93">
        <f>SUM(C4:N4)</f>
      </c>
      <c r="P4" s="93"/>
      <c r="Q4" s="146" t="str">
        <v>渠道填写</v>
      </c>
    </row>
    <row r="5">
      <c r="A5" s="97"/>
      <c r="B5" s="94" t="str">
        <v>国补自补费用</v>
      </c>
      <c r="C5" s="93">
        <f>C3*$P$12</f>
      </c>
      <c r="D5" s="93">
        <f>D3*$P$12</f>
      </c>
      <c r="E5" s="93">
        <f>E3*$P$12</f>
      </c>
      <c r="F5" s="93">
        <f>F3*$P$12</f>
      </c>
      <c r="G5" s="93">
        <f>G3*$P$12</f>
      </c>
      <c r="H5" s="93">
        <f>H3*$P$12</f>
      </c>
      <c r="I5" s="93">
        <f>I3*$P$12</f>
      </c>
      <c r="J5" s="93">
        <f>J3*$P$12</f>
      </c>
      <c r="K5" s="93">
        <f>K3*$P$12</f>
      </c>
      <c r="L5" s="93">
        <f>L3*$P$12</f>
      </c>
      <c r="M5" s="93">
        <f>M3*$P$12</f>
      </c>
      <c r="N5" s="93">
        <f>N3*$P$12</f>
      </c>
      <c r="O5" s="93">
        <f>SUM(C5:N5)</f>
      </c>
      <c r="P5" s="93"/>
      <c r="Q5" s="126" t="str">
        <v>渠道填写</v>
      </c>
      <c r="R5" s="72"/>
    </row>
    <row r="6">
      <c r="A6" s="106"/>
      <c r="B6" s="98" t="str">
        <v>GMV（国补后）</v>
      </c>
      <c r="C6" s="95">
        <f>C3</f>
      </c>
      <c r="D6" s="95">
        <f>D3</f>
      </c>
      <c r="E6" s="95">
        <f>E3</f>
      </c>
      <c r="F6" s="95">
        <f>F3</f>
      </c>
      <c r="G6" s="95">
        <f>G3</f>
      </c>
      <c r="H6" s="95">
        <f>H3</f>
      </c>
      <c r="I6" s="95">
        <f>I3</f>
      </c>
      <c r="J6" s="95">
        <f>J3</f>
      </c>
      <c r="K6" s="95">
        <f>K3</f>
      </c>
      <c r="L6" s="95">
        <f>L3</f>
      </c>
      <c r="M6" s="95">
        <f>M3</f>
      </c>
      <c r="N6" s="95">
        <f>N3</f>
      </c>
      <c r="O6" s="95">
        <f>SUM(C6:N6)</f>
      </c>
      <c r="P6" s="95"/>
      <c r="Q6" s="126" t="str">
        <v>渠道填写</v>
      </c>
      <c r="R6" s="72">
        <f>D8/D6</f>
      </c>
    </row>
    <row r="7">
      <c r="A7" s="106"/>
      <c r="B7" s="102" t="str">
        <v>退货率（发货前+后）</v>
      </c>
      <c r="C7" s="103">
        <v>0.1361847172418893</v>
      </c>
      <c r="D7" s="103">
        <v>0.1361847172418893</v>
      </c>
      <c r="E7" s="103">
        <v>0.1361847172418893</v>
      </c>
      <c r="F7" s="103">
        <v>0.1361847172418893</v>
      </c>
      <c r="G7" s="103">
        <v>0.1361847172418893</v>
      </c>
      <c r="H7" s="103">
        <v>0.1361847172418893</v>
      </c>
      <c r="I7" s="103">
        <v>0.1361847172418893</v>
      </c>
      <c r="J7" s="103">
        <v>0.1361847172418893</v>
      </c>
      <c r="K7" s="103">
        <v>0.1361847172418893</v>
      </c>
      <c r="L7" s="103">
        <v>0.1361847172418893</v>
      </c>
      <c r="M7" s="103">
        <v>0.1361847172418893</v>
      </c>
      <c r="N7" s="103">
        <v>0.1361847172418893</v>
      </c>
      <c r="O7" s="103">
        <f>1-O8/O6</f>
      </c>
      <c r="P7" s="103"/>
      <c r="Q7" s="1" t="str">
        <v>渠道填写</v>
      </c>
    </row>
    <row r="8">
      <c r="A8" s="106"/>
      <c r="B8" s="98" t="str">
        <v>GSV（国补后）</v>
      </c>
      <c r="C8" s="95">
        <v>7231482.859269094</v>
      </c>
      <c r="D8" s="95">
        <v>8097543.40526276</v>
      </c>
      <c r="E8" s="95">
        <v>6383335.250793982</v>
      </c>
      <c r="F8" s="95">
        <v>5689260.431255288</v>
      </c>
      <c r="G8" s="95">
        <v>10592191.339568919</v>
      </c>
      <c r="H8" s="95">
        <v>9716542.374831416</v>
      </c>
      <c r="I8" s="95">
        <v>7406835.141663713</v>
      </c>
      <c r="J8" s="95">
        <v>9559249.101119667</v>
      </c>
      <c r="K8" s="95">
        <v>7311875.815334129</v>
      </c>
      <c r="L8" s="95">
        <v>10772617.672934461</v>
      </c>
      <c r="M8" s="95">
        <v>12207561.593897767</v>
      </c>
      <c r="N8" s="95">
        <v>10181972.000868784</v>
      </c>
      <c r="O8" s="95">
        <f>SUM(C8:N8)</f>
      </c>
      <c r="P8" s="95"/>
      <c r="Q8" s="1" t="str">
        <v>渠道填写</v>
      </c>
      <c r="R8" s="190" t="str">
        <v>按采购供货金额计算</v>
      </c>
      <c r="S8" s="15" t="str">
        <v>=</v>
      </c>
    </row>
    <row r="9">
      <c r="B9" s="90"/>
      <c r="C9" s="105">
        <f>C6/$O$6</f>
      </c>
      <c r="D9" s="105">
        <f>D6/$O$6</f>
      </c>
      <c r="E9" s="105">
        <f>E6/$O$6</f>
      </c>
      <c r="F9" s="105">
        <f>F6/$O$6</f>
      </c>
      <c r="G9" s="105">
        <f>G6/$O$6</f>
      </c>
      <c r="H9" s="105">
        <f>H6/$O$6</f>
      </c>
      <c r="I9" s="105">
        <f>I6/$O$6</f>
      </c>
      <c r="J9" s="105">
        <f>J6/$O$6</f>
      </c>
      <c r="K9" s="105">
        <f>K6/$O$6</f>
      </c>
      <c r="L9" s="105">
        <f>L6/$O$6</f>
      </c>
      <c r="M9" s="105">
        <f>M6/$O$6</f>
      </c>
      <c r="N9" s="105">
        <f>N6/$O$6</f>
      </c>
      <c r="O9" s="105">
        <f>O6/$O$6</f>
      </c>
      <c r="P9" s="88"/>
      <c r="Q9" s="1"/>
    </row>
    <row r="10">
      <c r="A10" s="97"/>
      <c r="B10" s="98" t="str">
        <v>零售价（去除退货后的）</v>
      </c>
      <c r="C10" s="95">
        <v>11297690.080000002</v>
      </c>
      <c r="D10" s="95">
        <v>12218007.4</v>
      </c>
      <c r="E10" s="95">
        <v>9631518.28</v>
      </c>
      <c r="F10" s="95">
        <v>8584261</v>
      </c>
      <c r="G10" s="95">
        <v>15614662.066666666</v>
      </c>
      <c r="H10" s="95">
        <v>14323809</v>
      </c>
      <c r="I10" s="95">
        <v>11175829.760000002</v>
      </c>
      <c r="J10" s="95">
        <v>14423507.280000001</v>
      </c>
      <c r="K10" s="95">
        <v>11032550.04</v>
      </c>
      <c r="L10" s="95">
        <v>16254302.799999999</v>
      </c>
      <c r="M10" s="95">
        <v>17995988.066666666</v>
      </c>
      <c r="N10" s="95">
        <v>15363104.959999999</v>
      </c>
      <c r="O10" s="95">
        <f>SUM(C10:N10)</f>
      </c>
      <c r="P10" s="95"/>
      <c r="Q10" s="1"/>
    </row>
    <row r="11">
      <c r="B11" s="85" t="str">
        <v>合同折扣及返利 (线下）</v>
      </c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>
        <f>SUM(C11:N11)</f>
      </c>
      <c r="P11" s="84"/>
      <c r="Q11" s="1" t="str">
        <v>线下渠道填写</v>
      </c>
    </row>
    <row r="12">
      <c r="B12" s="85" t="str">
        <v>国补自补 （线上）</v>
      </c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>
        <f>SUM(C12:N12)</f>
      </c>
      <c r="P12" s="183">
        <v>0.15</v>
      </c>
      <c r="Q12" s="1" t="str">
        <v>渠道填写</v>
      </c>
      <c r="R12" s="54">
        <f>O12/$O$10</f>
      </c>
    </row>
    <row r="13">
      <c r="B13" s="85" t="str">
        <v>红包消费券等促销折扣</v>
      </c>
      <c r="C13" s="84">
        <f>C10-C15</f>
      </c>
      <c r="D13" s="84">
        <f>D10-D15</f>
      </c>
      <c r="E13" s="84">
        <f>E10-E15</f>
      </c>
      <c r="F13" s="84">
        <f>F10-F15</f>
      </c>
      <c r="G13" s="84">
        <f>G10-G15</f>
      </c>
      <c r="H13" s="84">
        <f>H10-H15</f>
      </c>
      <c r="I13" s="84">
        <f>I10-I15</f>
      </c>
      <c r="J13" s="84">
        <f>J10-J15</f>
      </c>
      <c r="K13" s="84">
        <f>K10-K15</f>
      </c>
      <c r="L13" s="84">
        <f>L10-L15</f>
      </c>
      <c r="M13" s="84">
        <f>M10-M15</f>
      </c>
      <c r="N13" s="84">
        <f>N10-N15</f>
      </c>
      <c r="O13" s="84">
        <f>SUM(C13:N13)</f>
      </c>
      <c r="P13" s="84"/>
      <c r="Q13" s="1" t="str">
        <v>渠道填写</v>
      </c>
      <c r="R13" s="54">
        <f>O13/$O$10</f>
      </c>
    </row>
    <row r="14">
      <c r="B14" s="83" t="str">
        <v>TTL 折扣合计</v>
      </c>
      <c r="C14" s="81">
        <f>SUM(C11:C13)</f>
      </c>
      <c r="D14" s="81">
        <f>SUM(D11:D13)</f>
      </c>
      <c r="E14" s="81">
        <f>SUM(E11:E13)</f>
      </c>
      <c r="F14" s="81">
        <f>SUM(F11:F13)</f>
      </c>
      <c r="G14" s="81">
        <f>SUM(G11:G13)</f>
      </c>
      <c r="H14" s="81">
        <f>SUM(H11:H13)</f>
      </c>
      <c r="I14" s="81">
        <f>SUM(I11:I13)</f>
      </c>
      <c r="J14" s="81">
        <f>SUM(J11:J13)</f>
      </c>
      <c r="K14" s="81">
        <f>SUM(K11:K13)</f>
      </c>
      <c r="L14" s="81">
        <f>SUM(L11:L13)</f>
      </c>
      <c r="M14" s="81">
        <f>SUM(M11:M13)</f>
      </c>
      <c r="N14" s="81">
        <f>SUM(N11:N13)</f>
      </c>
      <c r="O14" s="81">
        <f>SUM(C14:N14)</f>
      </c>
      <c r="P14" s="81"/>
      <c r="Q14" s="1"/>
    </row>
    <row r="15">
      <c r="A15" s="97"/>
      <c r="B15" s="98" t="str">
        <v>GSV</v>
      </c>
      <c r="C15" s="95">
        <f>C8</f>
      </c>
      <c r="D15" s="95">
        <f>D8</f>
      </c>
      <c r="E15" s="95">
        <f>E8</f>
      </c>
      <c r="F15" s="95">
        <f>F8</f>
      </c>
      <c r="G15" s="95">
        <f>G8</f>
      </c>
      <c r="H15" s="95">
        <f>H8</f>
      </c>
      <c r="I15" s="95">
        <f>I8</f>
      </c>
      <c r="J15" s="95">
        <f>J8</f>
      </c>
      <c r="K15" s="95">
        <f>K8</f>
      </c>
      <c r="L15" s="95">
        <f>L8</f>
      </c>
      <c r="M15" s="95">
        <f>M8</f>
      </c>
      <c r="N15" s="95">
        <f>N8</f>
      </c>
      <c r="O15" s="95">
        <f>SUM(C15:N15)</f>
      </c>
      <c r="P15" s="95"/>
      <c r="Q15" s="1"/>
    </row>
    <row r="16">
      <c r="A16" s="97"/>
      <c r="B16" s="98" t="str">
        <v>营业收入</v>
      </c>
      <c r="C16" s="95">
        <f>+C8/1.13</f>
      </c>
      <c r="D16" s="95">
        <f>+D8/1.13</f>
      </c>
      <c r="E16" s="95">
        <f>+E8/1.13</f>
      </c>
      <c r="F16" s="95">
        <f>+F8/1.13</f>
      </c>
      <c r="G16" s="95">
        <f>+G8/1.13</f>
      </c>
      <c r="H16" s="95">
        <f>+H8/1.13</f>
      </c>
      <c r="I16" s="95">
        <f>+I8/1.13</f>
      </c>
      <c r="J16" s="95">
        <f>+J8/1.13</f>
      </c>
      <c r="K16" s="95">
        <f>+K8/1.13</f>
      </c>
      <c r="L16" s="95">
        <f>+L8/1.13</f>
      </c>
      <c r="M16" s="95">
        <f>+M8/1.13</f>
      </c>
      <c r="N16" s="95">
        <f>+N8/1.13</f>
      </c>
      <c r="O16" s="95">
        <f>SUM(C16:N16)</f>
      </c>
      <c r="P16" s="95"/>
      <c r="Q16" s="1"/>
    </row>
    <row r="17">
      <c r="C17" s="157">
        <f>C10-C14-C15</f>
      </c>
      <c r="D17" s="157">
        <f>D10-D14-D15</f>
      </c>
      <c r="E17" s="157">
        <f>E10-E14-E15</f>
      </c>
      <c r="F17" s="157">
        <f>F10-F14-F15</f>
      </c>
      <c r="G17" s="157">
        <f>G10-G14-G15</f>
      </c>
      <c r="H17" s="157">
        <f>H10-H14-H15</f>
      </c>
      <c r="I17" s="157">
        <f>I10-I14-I15</f>
      </c>
      <c r="J17" s="157">
        <f>J10-J14-J15</f>
      </c>
      <c r="K17" s="157">
        <f>K10-K14-K15</f>
      </c>
      <c r="L17" s="157">
        <f>L10-L14-L15</f>
      </c>
      <c r="M17" s="157">
        <f>M10-M14-M15</f>
      </c>
      <c r="N17" s="157">
        <f>N10-N14-N15</f>
      </c>
      <c r="O17" s="157">
        <f>O10-O14-O15</f>
      </c>
      <c r="Q17" s="1"/>
    </row>
    <row r="18">
      <c r="B18" s="85" t="str">
        <v>标准主品配件成本</v>
      </c>
      <c r="C18" s="84">
        <f>C64*C65</f>
      </c>
      <c r="D18" s="84">
        <f>D64*D65</f>
      </c>
      <c r="E18" s="84">
        <f>E64*E65</f>
      </c>
      <c r="F18" s="84">
        <f>F64*F65</f>
      </c>
      <c r="G18" s="84">
        <f>G64*G65</f>
      </c>
      <c r="H18" s="84">
        <f>H64*H65</f>
      </c>
      <c r="I18" s="84">
        <f>I64*I65</f>
      </c>
      <c r="J18" s="84">
        <f>J64*J65</f>
      </c>
      <c r="K18" s="84">
        <f>K64*K65</f>
      </c>
      <c r="L18" s="84">
        <f>L64*L65</f>
      </c>
      <c r="M18" s="84">
        <f>M64*M65</f>
      </c>
      <c r="N18" s="84">
        <f>N64*N65</f>
      </c>
      <c r="O18" s="84">
        <f>SUM(C18:N18)</f>
      </c>
      <c r="P18" s="86">
        <f>O18/O16</f>
      </c>
      <c r="Q18" s="1"/>
    </row>
    <row r="19">
      <c r="B19" s="83" t="str">
        <v>产品毛利</v>
      </c>
      <c r="C19" s="81">
        <f>C16-C18</f>
      </c>
      <c r="D19" s="81">
        <f>D16-D18</f>
      </c>
      <c r="E19" s="81">
        <f>E16-E18</f>
      </c>
      <c r="F19" s="81">
        <f>F16-F18</f>
      </c>
      <c r="G19" s="81">
        <f>G16-G18</f>
      </c>
      <c r="H19" s="81">
        <f>H16-H18</f>
      </c>
      <c r="I19" s="81">
        <f>I16-I18</f>
      </c>
      <c r="J19" s="81">
        <f>J16-J18</f>
      </c>
      <c r="K19" s="81">
        <f>K16-K18</f>
      </c>
      <c r="L19" s="81">
        <f>L16-L18</f>
      </c>
      <c r="M19" s="81">
        <f>M16-M18</f>
      </c>
      <c r="N19" s="81">
        <f>N16-N18</f>
      </c>
      <c r="O19" s="81">
        <f>SUM(C19:N19)</f>
      </c>
      <c r="P19" s="82">
        <f>O19/$O$16</f>
      </c>
      <c r="Q19" s="1"/>
    </row>
    <row r="20">
      <c r="A20" s="88"/>
      <c r="B20" s="90" t="str">
        <v>头程/尾程物流/仓储费用</v>
      </c>
      <c r="C20" s="110">
        <f>C16*2.5%</f>
      </c>
      <c r="D20" s="110">
        <f>D16*2.5%</f>
      </c>
      <c r="E20" s="110">
        <f>E16*2.5%</f>
      </c>
      <c r="F20" s="110">
        <f>F16*2.5%</f>
      </c>
      <c r="G20" s="110">
        <f>G16*2.5%</f>
      </c>
      <c r="H20" s="110">
        <f>H16*2.5%</f>
      </c>
      <c r="I20" s="110">
        <f>I16*2.5%</f>
      </c>
      <c r="J20" s="110">
        <f>J16*2.5%</f>
      </c>
      <c r="K20" s="110">
        <f>K16*2.5%</f>
      </c>
      <c r="L20" s="110">
        <f>L16*2.5%</f>
      </c>
      <c r="M20" s="110">
        <f>M16*2.5%</f>
      </c>
      <c r="N20" s="110">
        <f>N16*2.5%</f>
      </c>
      <c r="O20" s="110">
        <f>SUM(C20:N20)</f>
      </c>
      <c r="P20" s="111">
        <v>0.025</v>
      </c>
      <c r="Q20" s="1"/>
    </row>
    <row r="21">
      <c r="B21" s="83" t="str">
        <v>成本合计（产品+物流）</v>
      </c>
      <c r="C21" s="81">
        <f>SUM(C18,C20)</f>
      </c>
      <c r="D21" s="81">
        <f>SUM(D18,D20)</f>
      </c>
      <c r="E21" s="81">
        <f>SUM(E18,E20)</f>
      </c>
      <c r="F21" s="81">
        <f>SUM(F18,F20)</f>
      </c>
      <c r="G21" s="81">
        <f>SUM(G18,G20)</f>
      </c>
      <c r="H21" s="81">
        <f>SUM(H18,H20)</f>
      </c>
      <c r="I21" s="81">
        <f>SUM(I18,I20)</f>
      </c>
      <c r="J21" s="81">
        <f>SUM(J18,J20)</f>
      </c>
      <c r="K21" s="81">
        <f>SUM(K18,K20)</f>
      </c>
      <c r="L21" s="81">
        <f>SUM(L18,L20)</f>
      </c>
      <c r="M21" s="81">
        <f>SUM(M18,M20)</f>
      </c>
      <c r="N21" s="81">
        <f>SUM(N18,N20)</f>
      </c>
      <c r="O21" s="81">
        <f>SUM(C21:N21)</f>
      </c>
      <c r="P21" s="82">
        <f>O21/$O$16</f>
      </c>
      <c r="Q21" s="1"/>
    </row>
    <row r="22">
      <c r="A22" s="97"/>
      <c r="B22" s="98" t="str">
        <v>净毛利</v>
      </c>
      <c r="C22" s="95">
        <f>C16-C21</f>
      </c>
      <c r="D22" s="95">
        <f>D16-D21</f>
      </c>
      <c r="E22" s="95">
        <f>E16-E21</f>
      </c>
      <c r="F22" s="95">
        <f>F16-F21</f>
      </c>
      <c r="G22" s="95">
        <f>G16-G21</f>
      </c>
      <c r="H22" s="95">
        <f>H16-H21</f>
      </c>
      <c r="I22" s="95">
        <f>I16-I21</f>
      </c>
      <c r="J22" s="95">
        <f>J16-J21</f>
      </c>
      <c r="K22" s="95">
        <f>K16-K21</f>
      </c>
      <c r="L22" s="95">
        <f>L16-L21</f>
      </c>
      <c r="M22" s="95">
        <f>M16-M21</f>
      </c>
      <c r="N22" s="95">
        <f>N16-N21</f>
      </c>
      <c r="O22" s="95">
        <f>SUM(C22:N22)</f>
      </c>
      <c r="P22" s="96">
        <f>O22/$O$16</f>
      </c>
      <c r="Q22" s="1"/>
    </row>
    <row r="23"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91"/>
      <c r="Q23" s="1"/>
    </row>
    <row r="24">
      <c r="B24" s="102" t="str">
        <v>合计毛利率</v>
      </c>
      <c r="C24" s="101">
        <f>IFERROR(1-C21/C16,0)</f>
      </c>
      <c r="D24" s="101">
        <f>IFERROR(1-D21/D16,0)</f>
      </c>
      <c r="E24" s="101">
        <f>IFERROR(1-E21/E16,0)</f>
      </c>
      <c r="F24" s="101">
        <f>IFERROR(1-F21/F16,0)</f>
      </c>
      <c r="G24" s="101">
        <f>IFERROR(1-G21/G16,0)</f>
      </c>
      <c r="H24" s="101">
        <f>IFERROR(1-H21/H16,0)</f>
      </c>
      <c r="I24" s="101">
        <f>IFERROR(1-I21/I16,0)</f>
      </c>
      <c r="J24" s="101">
        <f>IFERROR(1-J21/J16,0)</f>
      </c>
      <c r="K24" s="101">
        <f>IFERROR(1-K21/K16,0)</f>
      </c>
      <c r="L24" s="101">
        <f>IFERROR(1-L21/L16,0)</f>
      </c>
      <c r="M24" s="101">
        <f>IFERROR(1-M21/M16,0)</f>
      </c>
      <c r="N24" s="101">
        <f>IFERROR(1-N21/N16,0)</f>
      </c>
      <c r="O24" s="101">
        <f>IFERROR(1-O21/O16,0)</f>
      </c>
      <c r="P24" s="91"/>
      <c r="Q24" s="1"/>
    </row>
    <row r="25"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91"/>
      <c r="Q25" s="1"/>
    </row>
    <row r="26">
      <c r="B26" s="85" t="str">
        <v>品牌及内容费用</v>
      </c>
      <c r="C26" s="84">
        <f>SUM(C27:C31)</f>
      </c>
      <c r="D26" s="84">
        <f>SUM(D27:D31)</f>
      </c>
      <c r="E26" s="84">
        <f>SUM(E27:E31)</f>
      </c>
      <c r="F26" s="84">
        <f>SUM(F27:F31)</f>
      </c>
      <c r="G26" s="84">
        <f>SUM(G27:G31)</f>
      </c>
      <c r="H26" s="84">
        <f>SUM(H27:H31)</f>
      </c>
      <c r="I26" s="84">
        <f>SUM(I27:I31)</f>
      </c>
      <c r="J26" s="84">
        <f>SUM(J27:J31)</f>
      </c>
      <c r="K26" s="84">
        <f>SUM(K27:K31)</f>
      </c>
      <c r="L26" s="84">
        <f>SUM(L27:L31)</f>
      </c>
      <c r="M26" s="84">
        <f>SUM(M27:M31)</f>
      </c>
      <c r="N26" s="84">
        <f>SUM(N27:N31)</f>
      </c>
      <c r="O26" s="84">
        <f>SUM(C26:N26)</f>
      </c>
      <c r="P26" s="86">
        <f>O26/$O$16</f>
      </c>
      <c r="Q26" s="1"/>
    </row>
    <row r="27">
      <c r="A27" s="88"/>
      <c r="B27" s="90" t="str">
        <v>展会</v>
      </c>
      <c r="C27" s="89">
        <v>0</v>
      </c>
      <c r="D27" s="89">
        <v>0</v>
      </c>
      <c r="E27" s="89">
        <v>15602.899016331574</v>
      </c>
      <c r="F27" s="89">
        <v>13051.666872137235</v>
      </c>
      <c r="G27" s="89">
        <v>27735.052007534596</v>
      </c>
      <c r="H27" s="89">
        <v>24433.106591095482</v>
      </c>
      <c r="I27" s="89">
        <v>15797.41181109778</v>
      </c>
      <c r="J27" s="89">
        <v>21760.81958320232</v>
      </c>
      <c r="K27" s="89">
        <v>17345.613033932535</v>
      </c>
      <c r="L27" s="89">
        <v>29151.729994144807</v>
      </c>
      <c r="M27" s="89">
        <v>22193.416621988807</v>
      </c>
      <c r="N27" s="89">
        <v>0</v>
      </c>
      <c r="O27" s="88">
        <f>SUM(C27:N27)</f>
      </c>
      <c r="P27" s="91">
        <f>O27/$O$16</f>
      </c>
      <c r="Q27" s="90"/>
    </row>
    <row r="28">
      <c r="A28" s="88"/>
      <c r="B28" s="90" t="str">
        <v>品牌营销</v>
      </c>
      <c r="C28" s="89">
        <v>34415</v>
      </c>
      <c r="D28" s="89">
        <v>34415</v>
      </c>
      <c r="E28" s="89">
        <v>34415</v>
      </c>
      <c r="F28" s="89">
        <v>50077.00024656472</v>
      </c>
      <c r="G28" s="89">
        <v>200825.31204520792</v>
      </c>
      <c r="H28" s="89">
        <v>112600.9410915055</v>
      </c>
      <c r="I28" s="89">
        <v>34415</v>
      </c>
      <c r="J28" s="89">
        <v>60527.98349984278</v>
      </c>
      <c r="K28" s="89">
        <v>89920.96170858409</v>
      </c>
      <c r="L28" s="89">
        <v>69397.07599297381</v>
      </c>
      <c r="M28" s="89">
        <v>61047.099946386574</v>
      </c>
      <c r="N28" s="89">
        <v>34415</v>
      </c>
      <c r="O28" s="88">
        <f>SUM(C28:N28)</f>
      </c>
      <c r="P28" s="91">
        <f>O28/$O$16</f>
      </c>
      <c r="Q28" s="164" t="str">
        <v>注：每个月增加34415品专费用</v>
      </c>
    </row>
    <row r="29">
      <c r="A29" s="88"/>
      <c r="B29" s="90" t="str">
        <v>内容素材制作</v>
      </c>
      <c r="C29" s="89">
        <v>7639.479433584833</v>
      </c>
      <c r="D29" s="89">
        <v>6240.707713314944</v>
      </c>
      <c r="E29" s="89">
        <v>6241.159606532629</v>
      </c>
      <c r="F29" s="89">
        <v>26103.33374427447</v>
      </c>
      <c r="G29" s="89">
        <v>166410.31204520754</v>
      </c>
      <c r="H29" s="89">
        <v>107505.66900082013</v>
      </c>
      <c r="I29" s="89">
        <v>0</v>
      </c>
      <c r="J29" s="89">
        <v>26112.983499842783</v>
      </c>
      <c r="K29" s="89">
        <v>55505.96170858411</v>
      </c>
      <c r="L29" s="89">
        <v>58303.459988289615</v>
      </c>
      <c r="M29" s="89">
        <v>44386.83324397761</v>
      </c>
      <c r="N29" s="89">
        <v>7761.915213104533</v>
      </c>
      <c r="O29" s="88">
        <f>SUM(C29:N29)</f>
      </c>
      <c r="P29" s="91">
        <f>O29/$O$16</f>
      </c>
      <c r="Q29" s="1"/>
    </row>
    <row r="30">
      <c r="A30" s="88"/>
      <c r="B30" s="90" t="str">
        <v>公关费用</v>
      </c>
      <c r="C30" s="89">
        <v>7639.479433584833</v>
      </c>
      <c r="D30" s="89">
        <v>6240.707713314944</v>
      </c>
      <c r="E30" s="89">
        <v>49929.276852261035</v>
      </c>
      <c r="F30" s="89">
        <v>5220.666748854895</v>
      </c>
      <c r="G30" s="89">
        <v>33282.062409041515</v>
      </c>
      <c r="H30" s="89">
        <v>9773.242636438194</v>
      </c>
      <c r="I30" s="89">
        <v>6318.964724439113</v>
      </c>
      <c r="J30" s="89">
        <v>8704.32783328093</v>
      </c>
      <c r="K30" s="89">
        <v>6938.245213573014</v>
      </c>
      <c r="L30" s="89">
        <v>23321.38399531585</v>
      </c>
      <c r="M30" s="89">
        <v>17754.733297591043</v>
      </c>
      <c r="N30" s="89">
        <v>7761.915213104533</v>
      </c>
      <c r="O30" s="88">
        <f>SUM(C30:N30)</f>
      </c>
      <c r="P30" s="91">
        <f>O30/$O$16</f>
      </c>
      <c r="Q30" s="1"/>
    </row>
    <row collapsed="true" r="31">
      <c r="A31" s="88"/>
      <c r="B31" s="90" t="str">
        <v>达人种草、样机及加热</v>
      </c>
      <c r="C31" s="89">
        <v>118876.15074842605</v>
      </c>
      <c r="D31" s="89">
        <v>485550.957597623</v>
      </c>
      <c r="E31" s="89">
        <v>776937.7865926251</v>
      </c>
      <c r="F31" s="89">
        <v>406187.86452635727</v>
      </c>
      <c r="G31" s="89">
        <v>1553683.1413259702</v>
      </c>
      <c r="H31" s="89">
        <v>912474.8420757195</v>
      </c>
      <c r="I31" s="89">
        <v>196655.86109286008</v>
      </c>
      <c r="J31" s="89">
        <v>270892.014742233</v>
      </c>
      <c r="K31" s="89">
        <v>107964.40923870866</v>
      </c>
      <c r="L31" s="89">
        <v>907246.4896303039</v>
      </c>
      <c r="M31" s="89">
        <v>276277.2477276144</v>
      </c>
      <c r="N31" s="89">
        <v>241562.69049252092</v>
      </c>
      <c r="O31" s="88">
        <f>SUM(C31:N31)</f>
      </c>
      <c r="P31" s="91">
        <f>O31/$O$16</f>
      </c>
      <c r="Q31" s="1"/>
    </row>
    <row hidden="true" outlineLevel="1" r="32">
      <c r="A32" s="88"/>
      <c r="B32" s="90" t="str">
        <v>展会(费率)</v>
      </c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91"/>
      <c r="Q32" s="1"/>
    </row>
    <row hidden="true" outlineLevel="1" r="33">
      <c r="A33" s="88"/>
      <c r="B33" s="90" t="str">
        <v>品牌营销（费率）</v>
      </c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91"/>
      <c r="Q33" s="1"/>
    </row>
    <row hidden="true" outlineLevel="1" r="34">
      <c r="A34" s="88"/>
      <c r="B34" s="90" t="str">
        <v>内容素材制作（费率）</v>
      </c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91"/>
      <c r="Q34" s="1"/>
    </row>
    <row hidden="true" outlineLevel="1" r="35">
      <c r="A35" s="88"/>
      <c r="B35" s="90" t="str">
        <v>公关费用（费率）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91"/>
      <c r="Q35" s="1"/>
    </row>
    <row hidden="true" outlineLevel="1" r="36">
      <c r="A36" s="88"/>
      <c r="B36" s="90" t="str">
        <v>达人种草、样机及加热（费率）</v>
      </c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88"/>
      <c r="P36" s="91"/>
      <c r="Q36" s="1"/>
    </row>
    <row r="37">
      <c r="B37" s="85" t="str">
        <v>效果广告</v>
      </c>
      <c r="C37" s="84">
        <f>SUM(C38:C40)</f>
      </c>
      <c r="D37" s="84">
        <f>SUM(D38:D40)</f>
      </c>
      <c r="E37" s="84">
        <f>SUM(E38:E40)</f>
      </c>
      <c r="F37" s="84">
        <f>SUM(F38:F40)</f>
      </c>
      <c r="G37" s="84">
        <f>SUM(G38:G40)</f>
      </c>
      <c r="H37" s="84">
        <f>SUM(H38:H40)</f>
      </c>
      <c r="I37" s="84">
        <f>SUM(I38:I40)</f>
      </c>
      <c r="J37" s="84">
        <f>SUM(J38:J40)</f>
      </c>
      <c r="K37" s="84">
        <f>SUM(K38:K40)</f>
      </c>
      <c r="L37" s="84">
        <f>SUM(L38:L40)</f>
      </c>
      <c r="M37" s="84">
        <f>SUM(M38:M40)</f>
      </c>
      <c r="N37" s="84">
        <f>SUM(N38:N40)</f>
      </c>
      <c r="O37" s="84">
        <f>SUM(C37:N37)</f>
      </c>
      <c r="P37" s="86">
        <f>O37/$O$16</f>
      </c>
      <c r="Q37" s="1"/>
    </row>
    <row r="38">
      <c r="A38" s="88"/>
      <c r="B38" s="90" t="str">
        <v>站内投放</v>
      </c>
      <c r="C38" s="99">
        <v>960002.3901056596</v>
      </c>
      <c r="D38" s="99">
        <v>1367860.5165663718</v>
      </c>
      <c r="E38" s="99">
        <v>885086.21660177</v>
      </c>
      <c r="F38" s="99">
        <v>804623.8332743364</v>
      </c>
      <c r="G38" s="99">
        <v>1737987.4798725666</v>
      </c>
      <c r="H38" s="99">
        <v>1786264.9098690269</v>
      </c>
      <c r="I38" s="99">
        <v>997733.553260177</v>
      </c>
      <c r="J38" s="99">
        <v>1856181.030942128</v>
      </c>
      <c r="K38" s="99">
        <v>965548.5999292035</v>
      </c>
      <c r="L38" s="99">
        <v>1737987.4798725666</v>
      </c>
      <c r="M38" s="99">
        <v>1786264.9098690269</v>
      </c>
      <c r="N38" s="99">
        <v>1206935.7499115046</v>
      </c>
      <c r="O38" s="88">
        <f>SUM(C38:N38)</f>
      </c>
      <c r="P38" s="91">
        <f>O38/$O$16</f>
      </c>
      <c r="Q38" s="1" t="str">
        <v>投放填写</v>
      </c>
    </row>
    <row r="39">
      <c r="A39" s="88"/>
      <c r="B39" s="90" t="str">
        <v>千川投放</v>
      </c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88">
        <f>SUM(C39:N39)</f>
      </c>
      <c r="P39" s="91">
        <f>O39/$O$16</f>
      </c>
      <c r="Q39" s="1" t="str">
        <v>投放填写</v>
      </c>
    </row>
    <row collapsed="true" r="40">
      <c r="A40" s="88"/>
      <c r="B40" s="90" t="str">
        <v>站外投放</v>
      </c>
      <c r="C40" s="99">
        <v>240000.5975264149</v>
      </c>
      <c r="D40" s="99">
        <v>341965.12914159294</v>
      </c>
      <c r="E40" s="99">
        <v>221271.5541504425</v>
      </c>
      <c r="F40" s="99">
        <v>201155.9583185841</v>
      </c>
      <c r="G40" s="99">
        <v>434496.86996814166</v>
      </c>
      <c r="H40" s="99">
        <v>446566.2274672567</v>
      </c>
      <c r="I40" s="99">
        <v>249433.38831504426</v>
      </c>
      <c r="J40" s="99">
        <v>464045.257735532</v>
      </c>
      <c r="K40" s="99">
        <v>241387.14998230088</v>
      </c>
      <c r="L40" s="99">
        <v>434496.86996814166</v>
      </c>
      <c r="M40" s="99">
        <v>446566.2274672567</v>
      </c>
      <c r="N40" s="99">
        <v>301733.93747787614</v>
      </c>
      <c r="O40" s="88">
        <f>SUM(C40:N40)</f>
      </c>
      <c r="P40" s="91">
        <f>O40/$O$16</f>
      </c>
      <c r="Q40" s="1" t="str">
        <v>投放填写</v>
      </c>
    </row>
    <row hidden="true" outlineLevel="1" r="41">
      <c r="A41" s="88"/>
      <c r="B41" s="90" t="str">
        <v>站内投放（费率）</v>
      </c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91">
        <f>O38/$O$16</f>
      </c>
      <c r="Q41" s="1" t="str">
        <v>投放填写</v>
      </c>
    </row>
    <row hidden="true" outlineLevel="1" r="42">
      <c r="A42" s="88"/>
      <c r="B42" s="90" t="str">
        <v>千川投放（费率）</v>
      </c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91">
        <f>O39/$O$16</f>
      </c>
      <c r="Q42" s="1" t="str">
        <v>投放填写</v>
      </c>
    </row>
    <row hidden="true" outlineLevel="1" r="43">
      <c r="A43" s="88"/>
      <c r="B43" s="90" t="str">
        <v>站外投放（费率）</v>
      </c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91">
        <f>O40/$O$16</f>
      </c>
      <c r="Q43" s="1" t="str">
        <v>投放填写</v>
      </c>
    </row>
    <row r="44">
      <c r="B44" s="85" t="str">
        <v>线上营销费用</v>
      </c>
      <c r="C44" s="84">
        <f>SUM(C45:C46)</f>
      </c>
      <c r="D44" s="84">
        <f>SUM(D45:D46)</f>
      </c>
      <c r="E44" s="84">
        <f>SUM(E45:E46)</f>
      </c>
      <c r="F44" s="84">
        <f>SUM(F45:F46)</f>
      </c>
      <c r="G44" s="84">
        <f>SUM(G45:G46)</f>
      </c>
      <c r="H44" s="84">
        <f>SUM(H45:H46)</f>
      </c>
      <c r="I44" s="84">
        <f>SUM(I45:I46)</f>
      </c>
      <c r="J44" s="84">
        <f>SUM(J45:J46)</f>
      </c>
      <c r="K44" s="84">
        <f>SUM(K45:K46)</f>
      </c>
      <c r="L44" s="84">
        <f>SUM(L45:L46)</f>
      </c>
      <c r="M44" s="84">
        <f>SUM(M45:M46)</f>
      </c>
      <c r="N44" s="84">
        <f>SUM(N45:N46)</f>
      </c>
      <c r="O44" s="84">
        <f>SUM(C44:N44)</f>
      </c>
      <c r="P44" s="86">
        <f>O44/$O$16</f>
      </c>
      <c r="Q44" s="1"/>
    </row>
    <row r="45">
      <c r="A45" s="88"/>
      <c r="B45" s="90" t="str">
        <v>直播费用</v>
      </c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8"/>
      <c r="P45" s="91">
        <v>0.01</v>
      </c>
      <c r="Q45" s="1" t="str">
        <v>达人填写</v>
      </c>
    </row>
    <row r="46">
      <c r="A46" s="88"/>
      <c r="B46" s="90" t="str">
        <v>赠品费用</v>
      </c>
      <c r="C46" s="89">
        <f>C16*$P$46</f>
      </c>
      <c r="D46" s="89">
        <f>D16*$P$46</f>
      </c>
      <c r="E46" s="89">
        <f>E16*$P$46</f>
      </c>
      <c r="F46" s="89">
        <f>F16*$P$46</f>
      </c>
      <c r="G46" s="89">
        <f>G16*$P$46</f>
      </c>
      <c r="H46" s="89">
        <f>H16*$P$46</f>
      </c>
      <c r="I46" s="89">
        <f>I16*$P$46</f>
      </c>
      <c r="J46" s="89">
        <f>J16*$P$46</f>
      </c>
      <c r="K46" s="89">
        <f>K16*$P$46</f>
      </c>
      <c r="L46" s="89">
        <f>L16*$P$46</f>
      </c>
      <c r="M46" s="89">
        <f>M16*$P$46</f>
      </c>
      <c r="N46" s="89">
        <f>N16*$P$46</f>
      </c>
      <c r="O46" s="88">
        <f>SUM(C46:N46)</f>
      </c>
      <c r="P46" s="91">
        <v>0.02</v>
      </c>
      <c r="Q46" s="90" t="str">
        <v>渠道填写</v>
      </c>
    </row>
    <row r="47">
      <c r="B47" s="85" t="str">
        <v>线下市场费用</v>
      </c>
      <c r="C47" s="84">
        <f>SUM(C48:C51)</f>
      </c>
      <c r="D47" s="84">
        <f>SUM(D48:D51)</f>
      </c>
      <c r="E47" s="84">
        <f>SUM(E48:E51)</f>
      </c>
      <c r="F47" s="84">
        <f>SUM(F48:F51)</f>
      </c>
      <c r="G47" s="84">
        <f>SUM(G48:G51)</f>
      </c>
      <c r="H47" s="84">
        <f>SUM(H48:H51)</f>
      </c>
      <c r="I47" s="84">
        <f>SUM(I48:I51)</f>
      </c>
      <c r="J47" s="84">
        <f>SUM(J48:J51)</f>
      </c>
      <c r="K47" s="84">
        <f>SUM(K48:K51)</f>
      </c>
      <c r="L47" s="84">
        <f>SUM(L48:L51)</f>
      </c>
      <c r="M47" s="84">
        <f>SUM(M48:M51)</f>
      </c>
      <c r="N47" s="84">
        <f>SUM(N48:N51)</f>
      </c>
      <c r="O47" s="84">
        <f>SUM(C47:N47)</f>
      </c>
      <c r="P47" s="86">
        <f>O47/$O$16</f>
      </c>
      <c r="Q47" s="1"/>
    </row>
    <row r="48">
      <c r="A48" s="88"/>
      <c r="B48" s="90" t="str">
        <v>线下渠道展陈、促销费用</v>
      </c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8"/>
      <c r="P48" s="91">
        <f>O48/$O$16</f>
      </c>
      <c r="Q48" s="90" t="str">
        <v>线下门店</v>
      </c>
    </row>
    <row r="49">
      <c r="A49" s="88"/>
      <c r="B49" s="90" t="str">
        <v>租金+物业+水电</v>
      </c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8"/>
      <c r="P49" s="91">
        <f>O49/$O$16</f>
      </c>
      <c r="Q49" s="90" t="str">
        <v>线下门店</v>
      </c>
    </row>
    <row r="50">
      <c r="A50" s="88"/>
      <c r="B50" s="90" t="str">
        <v>门店人工</v>
      </c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8">
        <f>SUM(C50:N50)</f>
      </c>
      <c r="P50" s="91">
        <f>O50/$O$16</f>
      </c>
      <c r="Q50" s="90" t="str">
        <v>线下门店</v>
      </c>
    </row>
    <row r="51">
      <c r="B51" s="90" t="str">
        <v>门店展陈装修等其他</v>
      </c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8">
        <f>SUM(C51:N51)</f>
      </c>
      <c r="P51" s="91">
        <f>O51/$O$16</f>
      </c>
      <c r="Q51" s="90" t="str">
        <v>线下门店</v>
      </c>
    </row>
    <row r="52">
      <c r="B52" s="83" t="str">
        <v>市场投入费用</v>
      </c>
      <c r="C52" s="81">
        <f>SUM(C26,C37,C44,C47)</f>
      </c>
      <c r="D52" s="81">
        <f>SUM(D26,D37,D44,D47)</f>
      </c>
      <c r="E52" s="81">
        <f>SUM(E26,E37,E44,E47)</f>
      </c>
      <c r="F52" s="81">
        <f>SUM(F26,F37,F44,F47)</f>
      </c>
      <c r="G52" s="81">
        <f>SUM(G26,G37,G44,G47)</f>
      </c>
      <c r="H52" s="81">
        <f>SUM(H26,H37,H44,H47)</f>
      </c>
      <c r="I52" s="81">
        <f>SUM(I26,I37,I44,I47)</f>
      </c>
      <c r="J52" s="81">
        <f>SUM(J26,J37,J44,J47)</f>
      </c>
      <c r="K52" s="81">
        <f>SUM(K26,K37,K44,K47)</f>
      </c>
      <c r="L52" s="81">
        <f>SUM(L26,L37,L44,L47)</f>
      </c>
      <c r="M52" s="81">
        <f>SUM(M26,M37,M44,M47)</f>
      </c>
      <c r="N52" s="81">
        <f>SUM(N26,N37,N44,N47)</f>
      </c>
      <c r="O52" s="81">
        <f>SUM(C52:N52)</f>
      </c>
      <c r="P52" s="82">
        <f>O52/$O$16</f>
      </c>
      <c r="Q52" s="1"/>
    </row>
    <row r="53">
      <c r="A53" s="88"/>
      <c r="B53" s="90" t="str">
        <v>平台佣金</v>
      </c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8"/>
      <c r="P53" s="91">
        <v>0.053</v>
      </c>
      <c r="Q53" s="1"/>
    </row>
    <row r="54">
      <c r="A54" s="88"/>
      <c r="B54" s="90" t="str">
        <v>平台其他费用</v>
      </c>
      <c r="C54" s="89">
        <f>C16*$P$54</f>
      </c>
      <c r="D54" s="89">
        <f>D16*$P$54</f>
      </c>
      <c r="E54" s="89">
        <f>E16*$P$54</f>
      </c>
      <c r="F54" s="89">
        <f>F16*$P$54</f>
      </c>
      <c r="G54" s="89">
        <f>G16*$P$54</f>
      </c>
      <c r="H54" s="89">
        <f>H16*$P$54</f>
      </c>
      <c r="I54" s="89">
        <f>I16*$P$54</f>
      </c>
      <c r="J54" s="89">
        <f>J16*$P$54</f>
      </c>
      <c r="K54" s="89">
        <f>K16*$P$54</f>
      </c>
      <c r="L54" s="89">
        <f>L16*$P$54</f>
      </c>
      <c r="M54" s="89">
        <f>M16*$P$54</f>
      </c>
      <c r="N54" s="89">
        <f>N16*$P$54</f>
      </c>
      <c r="O54" s="88">
        <f>SUM(C54:N54)</f>
      </c>
      <c r="P54" s="91">
        <v>0.014</v>
      </c>
      <c r="Q54" s="1"/>
    </row>
    <row r="55">
      <c r="A55" s="88"/>
      <c r="B55" s="90" t="str">
        <v>售后费用</v>
      </c>
      <c r="C55" s="89">
        <v>493123.6880048466</v>
      </c>
      <c r="D55" s="89">
        <v>322459.14227506734</v>
      </c>
      <c r="E55" s="89">
        <v>251515.61989768659</v>
      </c>
      <c r="F55" s="89">
        <v>387068.2632238368</v>
      </c>
      <c r="G55" s="89">
        <v>332413.13498532615</v>
      </c>
      <c r="H55" s="89">
        <v>232878.3420547686</v>
      </c>
      <c r="I55" s="89">
        <v>324464.0364530579</v>
      </c>
      <c r="J55" s="89">
        <v>251022.50601128288</v>
      </c>
      <c r="K55" s="89">
        <v>345893.1370234001</v>
      </c>
      <c r="L55" s="89">
        <v>273022.6665343131</v>
      </c>
      <c r="M55" s="89">
        <v>239135.9642743752</v>
      </c>
      <c r="N55" s="89">
        <v>233319.41410649742</v>
      </c>
      <c r="O55" s="88">
        <f>SUM(C55:N55)</f>
      </c>
      <c r="P55" s="91">
        <v>0.03</v>
      </c>
      <c r="Q55" s="1"/>
    </row>
    <row r="56">
      <c r="A56" s="88"/>
      <c r="B56" s="90" t="str">
        <v>短信及店铺软件</v>
      </c>
      <c r="C56" s="89">
        <f>C16*$P$56</f>
      </c>
      <c r="D56" s="89">
        <f>D16*$P$56</f>
      </c>
      <c r="E56" s="89">
        <f>E16*$P$56</f>
      </c>
      <c r="F56" s="89">
        <f>F16*$P$56</f>
      </c>
      <c r="G56" s="89">
        <f>G16*$P$56</f>
      </c>
      <c r="H56" s="89">
        <f>H16*$P$56</f>
      </c>
      <c r="I56" s="89">
        <f>I16*$P$56</f>
      </c>
      <c r="J56" s="89">
        <f>J16*$P$56</f>
      </c>
      <c r="K56" s="89">
        <f>K16*$P$56</f>
      </c>
      <c r="L56" s="89">
        <f>L16*$P$56</f>
      </c>
      <c r="M56" s="89">
        <f>M16*$P$56</f>
      </c>
      <c r="N56" s="89">
        <f>N16*$P$56</f>
      </c>
      <c r="O56" s="88">
        <f>SUM(C56:N56)</f>
      </c>
      <c r="P56" s="91">
        <v>0.001</v>
      </c>
      <c r="Q56" s="1"/>
    </row>
    <row r="57">
      <c r="A57" s="88"/>
      <c r="B57" s="90" t="str">
        <v>其他运营费用（咨询调研等）</v>
      </c>
      <c r="C57" s="89">
        <v>58346.37295937089</v>
      </c>
      <c r="E57" s="89"/>
      <c r="F57" s="89"/>
      <c r="G57" s="89">
        <v>23338.549183748357</v>
      </c>
      <c r="H57" s="89"/>
      <c r="I57" s="89"/>
      <c r="J57" s="89"/>
      <c r="K57" s="89"/>
      <c r="L57" s="89">
        <v>23338.549183748357</v>
      </c>
      <c r="M57" s="89"/>
      <c r="N57" s="89">
        <v>70015.64755124507</v>
      </c>
      <c r="O57" s="88">
        <f>SUM(C57:N57)</f>
      </c>
      <c r="P57" s="91">
        <f>O57/$O$16</f>
      </c>
      <c r="Q57" s="90"/>
    </row>
    <row r="58">
      <c r="B58" s="83" t="str">
        <v>店铺运营费用</v>
      </c>
      <c r="C58" s="81">
        <f>SUM(C53:C57)</f>
      </c>
      <c r="D58" s="81">
        <f>SUM(D53:D57)</f>
      </c>
      <c r="E58" s="81">
        <f>SUM(E53:E57)</f>
      </c>
      <c r="F58" s="81">
        <f>SUM(F53:F57)</f>
      </c>
      <c r="G58" s="81">
        <f>SUM(G53:G57)</f>
      </c>
      <c r="H58" s="81">
        <f>SUM(H53:H57)</f>
      </c>
      <c r="I58" s="81">
        <f>SUM(I53:I57)</f>
      </c>
      <c r="J58" s="81">
        <f>SUM(J53:J57)</f>
      </c>
      <c r="K58" s="81">
        <f>SUM(K53:K57)</f>
      </c>
      <c r="L58" s="81">
        <f>SUM(L53:L57)</f>
      </c>
      <c r="M58" s="81">
        <f>SUM(M53:M57)</f>
      </c>
      <c r="N58" s="81">
        <f>SUM(N53:N57)</f>
      </c>
      <c r="O58" s="81">
        <f>SUM(C58:N58)</f>
      </c>
      <c r="P58" s="82">
        <f>O58/$O$16</f>
      </c>
      <c r="Q58" s="1"/>
    </row>
    <row r="59">
      <c r="A59" s="97"/>
      <c r="B59" s="98" t="str">
        <v>A&amp;P 合计数</v>
      </c>
      <c r="C59" s="95">
        <f>SUM(C52,C58)</f>
      </c>
      <c r="D59" s="95">
        <f>SUM(D52,D58)</f>
      </c>
      <c r="E59" s="95">
        <f>SUM(E52,E58)</f>
      </c>
      <c r="F59" s="95">
        <f>SUM(F52,F58)</f>
      </c>
      <c r="G59" s="95">
        <f>SUM(G52,G58)</f>
      </c>
      <c r="H59" s="95">
        <f>SUM(H52,H58)</f>
      </c>
      <c r="I59" s="95">
        <f>SUM(I52,I58)</f>
      </c>
      <c r="J59" s="95">
        <f>SUM(J52,J58)</f>
      </c>
      <c r="K59" s="95">
        <f>SUM(K52,K58)</f>
      </c>
      <c r="L59" s="95">
        <f>SUM(L52,L58)</f>
      </c>
      <c r="M59" s="95">
        <f>SUM(M52,M58)</f>
      </c>
      <c r="N59" s="95">
        <f>SUM(N52,N58)</f>
      </c>
      <c r="O59" s="95">
        <f>SUM(C59:N59)</f>
      </c>
      <c r="P59" s="96">
        <f>O59/$O$16</f>
      </c>
      <c r="Q59" s="135"/>
      <c r="R59" s="106"/>
    </row>
    <row r="60">
      <c r="A60" s="97"/>
      <c r="B60" s="98" t="str">
        <v>店铺利润</v>
      </c>
      <c r="C60" s="95">
        <f>C22-C59</f>
      </c>
      <c r="D60" s="95">
        <f>D22-D59</f>
      </c>
      <c r="E60" s="95">
        <f>E22-E59</f>
      </c>
      <c r="F60" s="95">
        <f>F22-F59</f>
      </c>
      <c r="G60" s="95">
        <f>G22-G59</f>
      </c>
      <c r="H60" s="95">
        <f>H22-H59</f>
      </c>
      <c r="I60" s="95">
        <f>I22-I59</f>
      </c>
      <c r="J60" s="95">
        <f>J22-J59</f>
      </c>
      <c r="K60" s="95">
        <f>K22-K59</f>
      </c>
      <c r="L60" s="95">
        <f>L22-L59</f>
      </c>
      <c r="M60" s="95">
        <f>M22-M59</f>
      </c>
      <c r="N60" s="95">
        <f>N22-N59</f>
      </c>
      <c r="O60" s="95">
        <f>SUM(C60:N60)</f>
      </c>
      <c r="P60" s="96">
        <f>O60/$O$16</f>
      </c>
      <c r="Q60" s="135"/>
      <c r="R60" s="107"/>
    </row>
    <row r="61">
      <c r="Q61" s="1"/>
    </row>
    <row r="62">
      <c r="B62" s="179" t="str">
        <v>辅助计算</v>
      </c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58"/>
      <c r="Q62" s="1"/>
    </row>
    <row r="63">
      <c r="B63" s="181" t="str">
        <v>国补后价格(销量加权)</v>
      </c>
      <c r="C63" s="181">
        <v>366.6</v>
      </c>
      <c r="D63" s="181">
        <v>362.6</v>
      </c>
      <c r="E63" s="181">
        <v>362.8</v>
      </c>
      <c r="F63" s="181">
        <v>357</v>
      </c>
      <c r="G63" s="181">
        <v>376.4</v>
      </c>
      <c r="H63" s="181">
        <v>376.1</v>
      </c>
      <c r="I63" s="181">
        <v>401.9</v>
      </c>
      <c r="J63" s="181">
        <v>400.9</v>
      </c>
      <c r="K63" s="181">
        <v>401.8</v>
      </c>
      <c r="L63" s="181">
        <v>398.6</v>
      </c>
      <c r="M63" s="181">
        <v>397.7</v>
      </c>
      <c r="N63" s="181">
        <v>392.4</v>
      </c>
      <c r="Q63" s="1"/>
    </row>
    <row r="64">
      <c r="B64" s="181" t="str">
        <v>成本不含税（销量加权）</v>
      </c>
      <c r="C64" s="181">
        <v>158.8</v>
      </c>
      <c r="D64" s="181">
        <v>156.4</v>
      </c>
      <c r="E64" s="181">
        <v>165.1</v>
      </c>
      <c r="F64" s="181">
        <v>162.9</v>
      </c>
      <c r="G64" s="181">
        <v>153</v>
      </c>
      <c r="H64" s="181">
        <v>155.3</v>
      </c>
      <c r="I64" s="181">
        <v>153.3</v>
      </c>
      <c r="J64" s="181">
        <v>152.5</v>
      </c>
      <c r="K64" s="181">
        <v>150.2</v>
      </c>
      <c r="L64" s="181">
        <v>146.6</v>
      </c>
      <c r="M64" s="181">
        <v>142.9</v>
      </c>
      <c r="N64" s="181">
        <v>139.6</v>
      </c>
      <c r="Q64" s="1"/>
    </row>
    <row r="65">
      <c r="B65" s="179" t="str">
        <v>退后销量</v>
      </c>
      <c r="C65" s="178">
        <f>C8/C63</f>
      </c>
      <c r="D65" s="178">
        <f>D8/D63</f>
      </c>
      <c r="E65" s="178">
        <f>E8/E63</f>
      </c>
      <c r="F65" s="178">
        <f>F8/F63</f>
      </c>
      <c r="G65" s="178">
        <f>G8/G63</f>
      </c>
      <c r="H65" s="178">
        <f>H8/H63</f>
      </c>
      <c r="I65" s="178">
        <f>I8/I63</f>
      </c>
      <c r="J65" s="178">
        <f>J8/J63</f>
      </c>
      <c r="K65" s="178">
        <f>K8/K63</f>
      </c>
      <c r="L65" s="178">
        <f>L8/L63</f>
      </c>
      <c r="M65" s="178">
        <f>M8/M63</f>
      </c>
      <c r="N65" s="178">
        <f>N8/N63</f>
      </c>
      <c r="Q65" s="1"/>
    </row>
    <row r="66">
      <c r="Q66" s="1"/>
    </row>
    <row r="67">
      <c r="Q67" s="1"/>
    </row>
    <row r="68">
      <c r="Q68" s="1"/>
    </row>
    <row r="69">
      <c r="Q69" s="1"/>
    </row>
    <row r="70">
      <c r="Q70" s="1"/>
    </row>
    <row r="71">
      <c r="Q71" s="1"/>
    </row>
    <row r="72">
      <c r="Q72" s="1"/>
    </row>
    <row r="73">
      <c r="Q73" s="1"/>
    </row>
    <row r="74">
      <c r="Q74" s="1"/>
    </row>
    <row r="75">
      <c r="Q75" s="1"/>
    </row>
    <row r="76">
      <c r="Q76" s="1"/>
    </row>
    <row r="77">
      <c r="Q77" s="1"/>
    </row>
    <row r="78">
      <c r="Q78" s="1"/>
    </row>
    <row r="79">
      <c r="Q79" s="1"/>
    </row>
    <row r="80">
      <c r="Q80" s="1"/>
    </row>
    <row r="81">
      <c r="C81" s="158">
        <f>C16-C18-C20-C26-C37-C44-C47-C58-C60</f>
      </c>
      <c r="D81" s="158">
        <f>D16-D18-D20-D26-D37-D44-D47-D58-D60</f>
      </c>
      <c r="E81" s="158">
        <f>E16-E18-E20-E26-E37-E44-E47-E58-E60</f>
      </c>
      <c r="F81" s="158">
        <f>F16-F18-F20-F26-F37-F44-F47-F58-F60</f>
      </c>
      <c r="G81" s="158">
        <f>G16-G18-G20-G26-G37-G44-G47-G58-G60</f>
      </c>
      <c r="H81" s="158">
        <f>H16-H18-H20-H26-H37-H44-H47-H58-H60</f>
      </c>
      <c r="I81" s="158">
        <f>I16-I18-I20-I26-I37-I44-I47-I58-I60</f>
      </c>
      <c r="J81" s="158">
        <f>J16-J18-J20-J26-J37-J44-J47-J58-J60</f>
      </c>
      <c r="K81" s="158">
        <f>K16-K18-K20-K26-K37-K44-K47-K58-K60</f>
      </c>
      <c r="L81" s="158">
        <f>L16-L18-L20-L26-L37-L44-L47-L58-L60</f>
      </c>
      <c r="M81" s="158">
        <f>M16-M18-M20-M26-M37-M44-M47-M58-M60</f>
      </c>
      <c r="N81" s="158">
        <f>N16-N18-N20-N26-N37-N44-N47-N58-N60</f>
      </c>
      <c r="O81" s="158">
        <f>O16-O18-O20-O26-O37-O44-O47-O58-O60</f>
      </c>
      <c r="Q81" s="1"/>
    </row>
    <row r="82">
      <c r="C82" s="119">
        <f>C10-C11-C12-C13-C15</f>
      </c>
      <c r="D82" s="119">
        <f>D10-D11-D12-D13-D15</f>
      </c>
      <c r="E82" s="119">
        <f>E10-E11-E12-E13-E15</f>
      </c>
      <c r="F82" s="119">
        <f>F10-F11-F12-F13-F15</f>
      </c>
      <c r="G82" s="119">
        <f>G10-G11-G12-G13-G15</f>
      </c>
      <c r="H82" s="119">
        <f>H10-H11-H12-H13-H15</f>
      </c>
      <c r="I82" s="119">
        <f>I10-I11-I12-I13-I15</f>
      </c>
      <c r="J82" s="119">
        <f>J10-J11-J12-J13-J15</f>
      </c>
      <c r="K82" s="119">
        <f>K10-K11-K12-K13-K15</f>
      </c>
      <c r="L82" s="119">
        <f>L10-L11-L12-L13-L15</f>
      </c>
      <c r="M82" s="119">
        <f>M10-M11-M12-M13-M15</f>
      </c>
      <c r="N82" s="119">
        <f>N10-N11-N12-N13-N15</f>
      </c>
      <c r="O82" s="119">
        <f>O10-O11-O12-O13-O15</f>
      </c>
      <c r="Q82" s="1"/>
    </row>
    <row r="83">
      <c r="Q83" s="1"/>
    </row>
    <row r="84">
      <c r="Q84" s="1"/>
    </row>
    <row r="85">
      <c r="Q85" s="1"/>
    </row>
    <row r="86">
      <c r="Q86" s="1"/>
    </row>
    <row r="87">
      <c r="Q87" s="1"/>
    </row>
    <row r="88">
      <c r="Q88" s="1"/>
    </row>
    <row r="89">
      <c r="Q89" s="1"/>
    </row>
    <row r="90">
      <c r="Q90" s="1"/>
    </row>
    <row r="91">
      <c r="Q91" s="1"/>
    </row>
    <row r="92">
      <c r="Q92" s="1"/>
    </row>
    <row r="93">
      <c r="B93" s="1" t="str">
        <v>分摊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Q93" s="1"/>
    </row>
    <row r="94">
      <c r="B94" s="85" t="str">
        <v>品牌及内容费用</v>
      </c>
      <c r="C94" s="127">
        <f>SUM(C95:C99)</f>
      </c>
      <c r="D94" s="127">
        <f>SUM(D95:D99)</f>
      </c>
      <c r="E94" s="127">
        <f>SUM(E95:E99)</f>
      </c>
      <c r="F94" s="127">
        <f>SUM(F95:F99)</f>
      </c>
      <c r="G94" s="127">
        <f>SUM(G95:G99)</f>
      </c>
      <c r="H94" s="127">
        <f>SUM(H95:H99)</f>
      </c>
      <c r="I94" s="127">
        <f>SUM(I95:I99)</f>
      </c>
      <c r="J94" s="127">
        <f>SUM(J95:J99)</f>
      </c>
      <c r="K94" s="127">
        <f>SUM(K95:K99)</f>
      </c>
      <c r="L94" s="127">
        <f>SUM(L95:L99)</f>
      </c>
      <c r="M94" s="127">
        <f>SUM(M95:M99)</f>
      </c>
      <c r="N94" s="127">
        <f>SUM(N95:N99)</f>
      </c>
      <c r="Q94" s="1"/>
    </row>
    <row r="95">
      <c r="B95" s="90" t="str">
        <v>展会</v>
      </c>
      <c r="C95" s="170">
        <f>'线下门店-小计'!C27*(C15/('26年全渠道汇总'!C15-'线下门店-小计'!C15))</f>
      </c>
      <c r="D95" s="170">
        <f>'线下门店-小计'!D27*(D15/('26年全渠道汇总'!D15-'线下门店-小计'!D15))</f>
      </c>
      <c r="E95" s="170">
        <f>'线下门店-小计'!E27*(E15/('26年全渠道汇总'!E15-'线下门店-小计'!E15))</f>
      </c>
      <c r="F95" s="170">
        <f>'线下门店-小计'!F27*(F15/('26年全渠道汇总'!F15-'线下门店-小计'!F15))</f>
      </c>
      <c r="G95" s="170">
        <f>'线下门店-小计'!G27*(G15/('26年全渠道汇总'!G15-'线下门店-小计'!G15))</f>
      </c>
      <c r="H95" s="170">
        <f>'线下门店-小计'!H27*(H15/('26年全渠道汇总'!H15-'线下门店-小计'!H15))</f>
      </c>
      <c r="I95" s="170">
        <f>'线下门店-小计'!I27*(I15/('26年全渠道汇总'!I15-'线下门店-小计'!I15))</f>
      </c>
      <c r="J95" s="170">
        <f>'线下门店-小计'!J27*(J15/('26年全渠道汇总'!J15-'线下门店-小计'!J15))</f>
      </c>
      <c r="K95" s="170">
        <f>'线下门店-小计'!K27*(K15/('26年全渠道汇总'!K15-'线下门店-小计'!K15))</f>
      </c>
      <c r="L95" s="170">
        <f>'线下门店-小计'!L27*(L15/('26年全渠道汇总'!L15-'线下门店-小计'!L15))</f>
      </c>
      <c r="M95" s="170">
        <f>'线下门店-小计'!M27*(M15/('26年全渠道汇总'!M15-'线下门店-小计'!M15))</f>
      </c>
      <c r="N95" s="170">
        <f>'线下门店-小计'!N27*(N15/('26年全渠道汇总'!N15-'线下门店-小计'!N15))</f>
      </c>
      <c r="Q95" s="1"/>
    </row>
    <row r="96">
      <c r="B96" s="90" t="str">
        <v>品牌营销</v>
      </c>
      <c r="C96" s="170">
        <f>'线下门店-小计'!C28*(C15/('26年全渠道汇总'!C15-'线下门店-小计'!C15))</f>
      </c>
      <c r="D96" s="170">
        <f>'线下门店-小计'!D28*(D15/('26年全渠道汇总'!D15-'线下门店-小计'!D15))</f>
      </c>
      <c r="E96" s="170">
        <f>'线下门店-小计'!E28*(E15/('26年全渠道汇总'!E15-'线下门店-小计'!E15))</f>
      </c>
      <c r="F96" s="170">
        <f>'线下门店-小计'!F28*(F15/('26年全渠道汇总'!F15-'线下门店-小计'!F15))</f>
      </c>
      <c r="G96" s="170">
        <f>'线下门店-小计'!G28*(G15/('26年全渠道汇总'!G15-'线下门店-小计'!G15))</f>
      </c>
      <c r="H96" s="170">
        <f>'线下门店-小计'!H28*(H15/('26年全渠道汇总'!H15-'线下门店-小计'!H15))</f>
      </c>
      <c r="I96" s="170">
        <f>'线下门店-小计'!I28*(I15/('26年全渠道汇总'!I15-'线下门店-小计'!I15))</f>
      </c>
      <c r="J96" s="170">
        <f>'线下门店-小计'!J28*(J15/('26年全渠道汇总'!J15-'线下门店-小计'!J15))</f>
      </c>
      <c r="K96" s="170">
        <f>'线下门店-小计'!K28*(K15/('26年全渠道汇总'!K15-'线下门店-小计'!K15))</f>
      </c>
      <c r="L96" s="170">
        <f>'线下门店-小计'!L28*(L15/('26年全渠道汇总'!L15-'线下门店-小计'!L15))</f>
      </c>
      <c r="M96" s="170">
        <f>'线下门店-小计'!M28*(M15/('26年全渠道汇总'!M15-'线下门店-小计'!M15))</f>
      </c>
      <c r="N96" s="170">
        <f>'线下门店-小计'!N28*(N15/('26年全渠道汇总'!N15-'线下门店-小计'!N15))</f>
      </c>
      <c r="Q96" s="1"/>
    </row>
    <row r="97">
      <c r="B97" s="90" t="str">
        <v>内容素材制作</v>
      </c>
      <c r="C97" s="170">
        <f>'线下门店-小计'!C29*(C15/('26年全渠道汇总'!C15-'线下门店-小计'!C15))</f>
      </c>
      <c r="D97" s="170">
        <f>'线下门店-小计'!D29*(D15/('26年全渠道汇总'!D15-'线下门店-小计'!D15))</f>
      </c>
      <c r="E97" s="170">
        <f>'线下门店-小计'!E29*(E15/('26年全渠道汇总'!E15-'线下门店-小计'!E15))</f>
      </c>
      <c r="F97" s="170">
        <f>'线下门店-小计'!F29*(F15/('26年全渠道汇总'!F15-'线下门店-小计'!F15))</f>
      </c>
      <c r="G97" s="170">
        <f>'线下门店-小计'!G29*(G15/('26年全渠道汇总'!G15-'线下门店-小计'!G15))</f>
      </c>
      <c r="H97" s="170">
        <f>'线下门店-小计'!H29*(H15/('26年全渠道汇总'!H15-'线下门店-小计'!H15))</f>
      </c>
      <c r="I97" s="170">
        <f>'线下门店-小计'!I29*(I15/('26年全渠道汇总'!I15-'线下门店-小计'!I15))</f>
      </c>
      <c r="J97" s="170">
        <f>'线下门店-小计'!J29*(J15/('26年全渠道汇总'!J15-'线下门店-小计'!J15))</f>
      </c>
      <c r="K97" s="170">
        <f>'线下门店-小计'!K29*(K15/('26年全渠道汇总'!K15-'线下门店-小计'!K15))</f>
      </c>
      <c r="L97" s="170">
        <f>'线下门店-小计'!L29*(L15/('26年全渠道汇总'!L15-'线下门店-小计'!L15))</f>
      </c>
      <c r="M97" s="170">
        <f>'线下门店-小计'!M29*(M15/('26年全渠道汇总'!M15-'线下门店-小计'!M15))</f>
      </c>
      <c r="N97" s="170">
        <f>'线下门店-小计'!N29*(N15/('26年全渠道汇总'!N15-'线下门店-小计'!N15))</f>
      </c>
      <c r="Q97" s="1"/>
    </row>
    <row r="98">
      <c r="B98" s="90" t="str">
        <v>公关费用</v>
      </c>
      <c r="C98" s="170">
        <f>'线下门店-小计'!C30*(C15/('26年全渠道汇总'!C15-'线下门店-小计'!C15))</f>
      </c>
      <c r="D98" s="170">
        <f>'线下门店-小计'!D30*(D15/('26年全渠道汇总'!D15-'线下门店-小计'!D15))</f>
      </c>
      <c r="E98" s="170">
        <f>'线下门店-小计'!E30*(E15/('26年全渠道汇总'!E15-'线下门店-小计'!E15))</f>
      </c>
      <c r="F98" s="170">
        <f>'线下门店-小计'!F30*(F15/('26年全渠道汇总'!F15-'线下门店-小计'!F15))</f>
      </c>
      <c r="G98" s="170">
        <f>'线下门店-小计'!G30*(G15/('26年全渠道汇总'!G15-'线下门店-小计'!G15))</f>
      </c>
      <c r="H98" s="170">
        <f>'线下门店-小计'!H30*(H15/('26年全渠道汇总'!H15-'线下门店-小计'!H15))</f>
      </c>
      <c r="I98" s="170">
        <f>'线下门店-小计'!I30*(I15/('26年全渠道汇总'!I15-'线下门店-小计'!I15))</f>
      </c>
      <c r="J98" s="170">
        <f>'线下门店-小计'!J30*(J15/('26年全渠道汇总'!J15-'线下门店-小计'!J15))</f>
      </c>
      <c r="K98" s="170">
        <f>'线下门店-小计'!K30*(K15/('26年全渠道汇总'!K15-'线下门店-小计'!K15))</f>
      </c>
      <c r="L98" s="170">
        <f>'线下门店-小计'!L30*(L15/('26年全渠道汇总'!L15-'线下门店-小计'!L15))</f>
      </c>
      <c r="M98" s="170">
        <f>'线下门店-小计'!M30*(M15/('26年全渠道汇总'!M15-'线下门店-小计'!M15))</f>
      </c>
      <c r="N98" s="170">
        <f>'线下门店-小计'!N30*(N15/('26年全渠道汇总'!N15-'线下门店-小计'!N15))</f>
      </c>
      <c r="Q98" s="1"/>
    </row>
    <row r="99">
      <c r="B99" s="90" t="str">
        <v>达人种草、样机及加热</v>
      </c>
      <c r="C99" s="170">
        <f>'线下门店-小计'!C31*(C15/('26年全渠道汇总'!C15-'线下门店-小计'!C15))</f>
      </c>
      <c r="D99" s="170">
        <f>'线下门店-小计'!D31*(D15/('26年全渠道汇总'!D15-'线下门店-小计'!D15))</f>
      </c>
      <c r="E99" s="170">
        <f>'线下门店-小计'!E31*(E15/('26年全渠道汇总'!E15-'线下门店-小计'!E15))</f>
      </c>
      <c r="F99" s="170">
        <f>'线下门店-小计'!F31*(F15/('26年全渠道汇总'!F15-'线下门店-小计'!F15))</f>
      </c>
      <c r="G99" s="170">
        <f>'线下门店-小计'!G31*(G15/('26年全渠道汇总'!G15-'线下门店-小计'!G15))</f>
      </c>
      <c r="H99" s="170">
        <f>'线下门店-小计'!H31*(H15/('26年全渠道汇总'!H15-'线下门店-小计'!H15))</f>
      </c>
      <c r="I99" s="170">
        <f>'线下门店-小计'!I31*(I15/('26年全渠道汇总'!I15-'线下门店-小计'!I15))</f>
      </c>
      <c r="J99" s="170">
        <f>'线下门店-小计'!J31*(J15/('26年全渠道汇总'!J15-'线下门店-小计'!J15))</f>
      </c>
      <c r="K99" s="170">
        <f>'线下门店-小计'!K31*(K15/('26年全渠道汇总'!K15-'线下门店-小计'!K15))</f>
      </c>
      <c r="L99" s="170">
        <f>'线下门店-小计'!L31*(L15/('26年全渠道汇总'!L15-'线下门店-小计'!L15))</f>
      </c>
      <c r="M99" s="170">
        <f>'线下门店-小计'!M31*(M15/('26年全渠道汇总'!M15-'线下门店-小计'!M15))</f>
      </c>
      <c r="N99" s="170">
        <f>'线下门店-小计'!N31*(N15/('26年全渠道汇总'!N15-'线下门店-小计'!N15))</f>
      </c>
      <c r="Q99" s="1"/>
    </row>
    <row r="100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Q100" s="1"/>
    </row>
    <row r="101">
      <c r="B101" s="1" t="str">
        <v>总计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Q101" s="1"/>
    </row>
    <row r="102">
      <c r="B102" s="85" t="str">
        <v>品牌及内容费用</v>
      </c>
      <c r="C102" s="127">
        <f>SUM(C103:C107)</f>
      </c>
      <c r="D102" s="127">
        <f>SUM(D103:D107)</f>
      </c>
      <c r="E102" s="127">
        <f>SUM(E103:E107)</f>
      </c>
      <c r="F102" s="127">
        <f>SUM(F103:F107)</f>
      </c>
      <c r="G102" s="127">
        <f>SUM(G103:G107)</f>
      </c>
      <c r="H102" s="127">
        <f>SUM(H103:H107)</f>
      </c>
      <c r="I102" s="127">
        <f>SUM(I103:I107)</f>
      </c>
      <c r="J102" s="127">
        <f>SUM(J103:J107)</f>
      </c>
      <c r="K102" s="127">
        <f>SUM(K103:K107)</f>
      </c>
      <c r="L102" s="127">
        <f>SUM(L103:L107)</f>
      </c>
      <c r="M102" s="127">
        <f>SUM(M103:M107)</f>
      </c>
      <c r="N102" s="127">
        <f>SUM(N103:N107)</f>
      </c>
      <c r="Q102" s="1"/>
    </row>
    <row r="103">
      <c r="B103" s="90" t="str">
        <v>展会</v>
      </c>
      <c r="C103" s="170">
        <f>C95+C27</f>
      </c>
      <c r="D103" s="170">
        <f>D95+D27</f>
      </c>
      <c r="E103" s="170">
        <f>E95+E27</f>
      </c>
      <c r="F103" s="170">
        <f>F95+F27</f>
      </c>
      <c r="G103" s="170">
        <f>G95+G27</f>
      </c>
      <c r="H103" s="170">
        <f>H95+H27</f>
      </c>
      <c r="I103" s="170">
        <f>I95+I27</f>
      </c>
      <c r="J103" s="170">
        <f>J95+J27</f>
      </c>
      <c r="K103" s="170">
        <f>K95+K27</f>
      </c>
      <c r="L103" s="170">
        <f>L95+L27</f>
      </c>
      <c r="M103" s="170">
        <f>M95+M27</f>
      </c>
      <c r="N103" s="170">
        <f>N95+N27</f>
      </c>
      <c r="Q103" s="1"/>
    </row>
    <row r="104">
      <c r="B104" s="90" t="str">
        <v>品牌营销</v>
      </c>
      <c r="C104" s="170">
        <f>C96+C28</f>
      </c>
      <c r="D104" s="170">
        <f>D96+D28</f>
      </c>
      <c r="E104" s="170">
        <f>E96+E28</f>
      </c>
      <c r="F104" s="170">
        <f>F96+F28</f>
      </c>
      <c r="G104" s="170">
        <f>G96+G28</f>
      </c>
      <c r="H104" s="170">
        <f>H96+H28</f>
      </c>
      <c r="I104" s="170">
        <f>I96+I28</f>
      </c>
      <c r="J104" s="170">
        <f>J96+J28</f>
      </c>
      <c r="K104" s="170">
        <f>K96+K28</f>
      </c>
      <c r="L104" s="170">
        <f>L96+L28</f>
      </c>
      <c r="M104" s="170">
        <f>M96+M28</f>
      </c>
      <c r="N104" s="170">
        <f>N96+N28</f>
      </c>
      <c r="Q104" s="1"/>
    </row>
    <row r="105">
      <c r="B105" s="90" t="str">
        <v>内容素材制作</v>
      </c>
      <c r="C105" s="170">
        <f>C97+C29</f>
      </c>
      <c r="D105" s="170">
        <f>D97+D29</f>
      </c>
      <c r="E105" s="170">
        <f>E97+E29</f>
      </c>
      <c r="F105" s="170">
        <f>F97+F29</f>
      </c>
      <c r="G105" s="170">
        <f>G97+G29</f>
      </c>
      <c r="H105" s="170">
        <f>H97+H29</f>
      </c>
      <c r="I105" s="170">
        <f>I97+I29</f>
      </c>
      <c r="J105" s="170">
        <f>J97+J29</f>
      </c>
      <c r="K105" s="170">
        <f>K97+K29</f>
      </c>
      <c r="L105" s="170">
        <f>L97+L29</f>
      </c>
      <c r="M105" s="170">
        <f>M97+M29</f>
      </c>
      <c r="N105" s="170">
        <f>N97+N29</f>
      </c>
      <c r="Q105" s="1"/>
    </row>
    <row r="106">
      <c r="B106" s="90" t="str">
        <v>公关费用</v>
      </c>
      <c r="C106" s="170">
        <f>C98+C30</f>
      </c>
      <c r="D106" s="170">
        <f>D98+D30</f>
      </c>
      <c r="E106" s="170">
        <f>E98+E30</f>
      </c>
      <c r="F106" s="170">
        <f>F98+F30</f>
      </c>
      <c r="G106" s="170">
        <f>G98+G30</f>
      </c>
      <c r="H106" s="170">
        <f>H98+H30</f>
      </c>
      <c r="I106" s="170">
        <f>I98+I30</f>
      </c>
      <c r="J106" s="170">
        <f>J98+J30</f>
      </c>
      <c r="K106" s="170">
        <f>K98+K30</f>
      </c>
      <c r="L106" s="170">
        <f>L98+L30</f>
      </c>
      <c r="M106" s="170">
        <f>M98+M30</f>
      </c>
      <c r="N106" s="170">
        <f>N98+N30</f>
      </c>
      <c r="Q106" s="1"/>
    </row>
    <row r="107">
      <c r="B107" s="90" t="str">
        <v>达人种草、样机及加热</v>
      </c>
      <c r="C107" s="170">
        <f>C99+C31</f>
      </c>
      <c r="D107" s="170">
        <f>D99+D31</f>
      </c>
      <c r="E107" s="170">
        <f>E99+E31</f>
      </c>
      <c r="F107" s="170">
        <f>F99+F31</f>
      </c>
      <c r="G107" s="170">
        <f>G99+G31</f>
      </c>
      <c r="H107" s="170">
        <f>H99+H31</f>
      </c>
      <c r="I107" s="170">
        <f>I99+I31</f>
      </c>
      <c r="J107" s="170">
        <f>J99+J31</f>
      </c>
      <c r="K107" s="170">
        <f>K99+K31</f>
      </c>
      <c r="L107" s="170">
        <f>L99+L31</f>
      </c>
      <c r="M107" s="170">
        <f>M99+M31</f>
      </c>
      <c r="N107" s="170">
        <f>N99+N31</f>
      </c>
      <c r="Q107" s="1"/>
    </row>
    <row r="108">
      <c r="Q108" s="1"/>
    </row>
    <row r="109">
      <c r="Q109" s="1"/>
    </row>
    <row r="110">
      <c r="Q110" s="1"/>
    </row>
    <row r="111">
      <c r="Q111" s="1"/>
    </row>
    <row r="112">
      <c r="Q112" s="1"/>
    </row>
    <row r="113">
      <c r="Q113" s="1"/>
    </row>
    <row r="114">
      <c r="Q114" s="1"/>
    </row>
    <row r="115">
      <c r="Q115" s="1"/>
    </row>
    <row r="116">
      <c r="Q116" s="1"/>
    </row>
    <row r="117">
      <c r="Q117" s="1"/>
    </row>
    <row r="118">
      <c r="Q118" s="1"/>
    </row>
    <row r="119">
      <c r="Q119" s="1"/>
    </row>
    <row r="120">
      <c r="Q120" s="1"/>
    </row>
    <row r="121">
      <c r="Q121" s="1"/>
    </row>
    <row r="122">
      <c r="Q122" s="1"/>
    </row>
    <row r="123">
      <c r="Q123" s="1"/>
    </row>
    <row r="124">
      <c r="Q124" s="1"/>
    </row>
    <row r="125">
      <c r="Q125" s="1"/>
    </row>
    <row r="126">
      <c r="Q126" s="1"/>
    </row>
    <row r="127">
      <c r="Q127" s="1"/>
    </row>
    <row r="128">
      <c r="Q128" s="1"/>
    </row>
    <row r="129">
      <c r="Q129" s="1"/>
    </row>
    <row r="130">
      <c r="Q130" s="1"/>
    </row>
    <row r="131">
      <c r="Q131" s="1"/>
    </row>
    <row r="132">
      <c r="Q132" s="1"/>
    </row>
    <row r="133">
      <c r="Q133" s="1"/>
    </row>
    <row r="134">
      <c r="Q134" s="1"/>
    </row>
    <row r="135">
      <c r="Q135" s="1"/>
    </row>
    <row r="136">
      <c r="Q136" s="1"/>
    </row>
    <row r="137">
      <c r="Q137" s="1"/>
    </row>
    <row r="138">
      <c r="Q138" s="1"/>
    </row>
    <row r="139">
      <c r="Q139" s="1"/>
    </row>
    <row r="140">
      <c r="Q140" s="1"/>
    </row>
    <row r="141">
      <c r="Q141" s="1"/>
    </row>
    <row r="142">
      <c r="Q142" s="1"/>
    </row>
    <row r="143">
      <c r="Q143" s="1"/>
    </row>
    <row r="144">
      <c r="Q144" s="1"/>
    </row>
    <row r="145">
      <c r="Q145" s="1"/>
    </row>
    <row r="146">
      <c r="Q146" s="1"/>
    </row>
    <row r="147">
      <c r="Q147" s="1"/>
    </row>
    <row r="148">
      <c r="Q148" s="1"/>
    </row>
    <row r="149">
      <c r="Q149" s="1"/>
    </row>
    <row r="150">
      <c r="Q150" s="1"/>
    </row>
    <row r="151">
      <c r="Q151" s="1"/>
    </row>
    <row r="152">
      <c r="Q152" s="1"/>
    </row>
    <row r="153">
      <c r="Q153" s="1"/>
    </row>
    <row r="154">
      <c r="Q154" s="1"/>
    </row>
    <row r="155">
      <c r="Q155" s="1"/>
    </row>
    <row r="156">
      <c r="Q156" s="1"/>
    </row>
    <row r="157">
      <c r="Q157" s="1"/>
    </row>
    <row r="158">
      <c r="Q158" s="1"/>
    </row>
    <row r="159">
      <c r="Q159" s="1"/>
    </row>
    <row r="160">
      <c r="Q160" s="1"/>
    </row>
    <row r="161">
      <c r="Q161" s="1"/>
    </row>
    <row r="162">
      <c r="Q162" s="1"/>
    </row>
    <row r="163">
      <c r="Q163" s="1"/>
    </row>
    <row r="164">
      <c r="Q164" s="1"/>
    </row>
    <row r="165">
      <c r="Q165" s="1"/>
    </row>
    <row r="166">
      <c r="Q166" s="1"/>
    </row>
    <row r="167">
      <c r="Q167" s="1"/>
    </row>
    <row r="168">
      <c r="Q168" s="1"/>
    </row>
    <row r="169">
      <c r="Q169" s="1"/>
    </row>
    <row r="170">
      <c r="Q170" s="1"/>
    </row>
    <row r="171">
      <c r="Q171" s="1"/>
    </row>
    <row r="172">
      <c r="Q172" s="1"/>
    </row>
    <row r="173">
      <c r="Q173" s="1"/>
    </row>
    <row r="174">
      <c r="Q174" s="1"/>
    </row>
    <row r="175">
      <c r="Q175" s="1"/>
    </row>
    <row r="176">
      <c r="Q176" s="1"/>
    </row>
    <row r="177">
      <c r="Q177" s="1"/>
    </row>
    <row r="178">
      <c r="Q178" s="1"/>
    </row>
    <row r="179">
      <c r="Q179" s="1"/>
    </row>
    <row r="180">
      <c r="Q180" s="1"/>
    </row>
    <row r="181">
      <c r="Q181" s="1"/>
    </row>
    <row r="182">
      <c r="Q182" s="1"/>
    </row>
    <row r="183">
      <c r="Q183" s="1"/>
    </row>
    <row r="184">
      <c r="Q184" s="1"/>
    </row>
    <row r="185">
      <c r="Q185" s="1"/>
    </row>
    <row r="186">
      <c r="Q186" s="1"/>
    </row>
    <row r="187">
      <c r="Q187" s="1"/>
    </row>
    <row r="188">
      <c r="Q188" s="1"/>
    </row>
    <row r="189">
      <c r="Q189" s="1"/>
    </row>
    <row r="190">
      <c r="Q190" s="1"/>
    </row>
    <row r="191">
      <c r="Q191" s="1"/>
    </row>
    <row r="192">
      <c r="Q192" s="1"/>
    </row>
    <row r="193">
      <c r="Q193" s="1"/>
    </row>
    <row r="194">
      <c r="Q194" s="1"/>
    </row>
    <row r="195">
      <c r="Q195" s="1"/>
    </row>
    <row r="196">
      <c r="Q196" s="1"/>
    </row>
    <row r="197">
      <c r="Q197" s="1"/>
    </row>
    <row r="198">
      <c r="Q198" s="1"/>
    </row>
    <row r="199">
      <c r="Q199" s="1"/>
    </row>
    <row r="200">
      <c r="Q200" s="1"/>
    </row>
  </sheetData>
  <picture r:id="rId1"/>
</worksheet>
</file>

<file path=xl/worksheets/sheet20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tabColor rgb="FF34c724"/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9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</row>
    <row r="2">
      <c r="B2" s="90" t="str">
        <v>退后销量</v>
      </c>
      <c r="C2" s="88">
        <f>PDD!C2+'得物'!C2+'视频号+官网+小程序'!C2+'唯品会'!C2</f>
      </c>
      <c r="D2" s="88">
        <f>PDD!D2+'得物'!D2+'视频号+官网+小程序'!D2+'唯品会'!D2</f>
      </c>
      <c r="E2" s="88">
        <f>PDD!E2+'得物'!E2+'视频号+官网+小程序'!E2+'唯品会'!E2</f>
      </c>
      <c r="F2" s="88">
        <f>PDD!F2+'得物'!F2+'视频号+官网+小程序'!F2+'唯品会'!F2</f>
      </c>
      <c r="G2" s="88">
        <f>PDD!G2+'得物'!G2+'视频号+官网+小程序'!G2+'唯品会'!G2</f>
      </c>
      <c r="H2" s="88">
        <f>PDD!H2+'得物'!H2+'视频号+官网+小程序'!H2+'唯品会'!H2</f>
      </c>
      <c r="I2" s="88">
        <f>PDD!I2+'得物'!I2+'视频号+官网+小程序'!I2+'唯品会'!I2</f>
      </c>
      <c r="J2" s="88">
        <f>PDD!J2+'得物'!J2+'视频号+官网+小程序'!J2+'唯品会'!J2</f>
      </c>
      <c r="K2" s="88">
        <f>PDD!K2+'得物'!K2+'视频号+官网+小程序'!K2+'唯品会'!K2</f>
      </c>
      <c r="L2" s="88">
        <f>PDD!L2+'得物'!L2+'视频号+官网+小程序'!L2+'唯品会'!L2</f>
      </c>
      <c r="M2" s="88">
        <f>PDD!M2+'得物'!M2+'视频号+官网+小程序'!M2+'唯品会'!M2</f>
      </c>
      <c r="N2" s="88">
        <f>PDD!N2+'得物'!N2+'视频号+官网+小程序'!N2+'唯品会'!N2</f>
      </c>
      <c r="O2" s="88">
        <f>SUM(C2:N2)</f>
      </c>
      <c r="P2" s="88"/>
      <c r="Q2" s="1"/>
    </row>
    <row r="3">
      <c r="A3" s="97"/>
      <c r="B3" s="94" t="str">
        <v>自补前GMV</v>
      </c>
      <c r="C3" s="93">
        <f>PDD!C3+'得物'!C3+'视频号+官网+小程序'!C3+'唯品会'!C3</f>
      </c>
      <c r="D3" s="93">
        <f>PDD!D3+'得物'!D3+'视频号+官网+小程序'!D3+'唯品会'!D3</f>
      </c>
      <c r="E3" s="93">
        <f>PDD!E3+'得物'!E3+'视频号+官网+小程序'!E3+'唯品会'!E3</f>
      </c>
      <c r="F3" s="93">
        <f>PDD!F3+'得物'!F3+'视频号+官网+小程序'!F3+'唯品会'!F3</f>
      </c>
      <c r="G3" s="93">
        <f>PDD!G3+'得物'!G3+'视频号+官网+小程序'!G3+'唯品会'!G3</f>
      </c>
      <c r="H3" s="93">
        <f>PDD!H3+'得物'!H3+'视频号+官网+小程序'!H3+'唯品会'!H3</f>
      </c>
      <c r="I3" s="93">
        <f>PDD!I3+'得物'!I3+'视频号+官网+小程序'!I3+'唯品会'!I3</f>
      </c>
      <c r="J3" s="93">
        <f>PDD!J3+'得物'!J3+'视频号+官网+小程序'!J3+'唯品会'!J3</f>
      </c>
      <c r="K3" s="93">
        <f>PDD!K3+'得物'!K3+'视频号+官网+小程序'!K3+'唯品会'!K3</f>
      </c>
      <c r="L3" s="93">
        <f>PDD!L3+'得物'!L3+'视频号+官网+小程序'!L3+'唯品会'!L3</f>
      </c>
      <c r="M3" s="93">
        <f>PDD!M3+'得物'!M3+'视频号+官网+小程序'!M3+'唯品会'!M3</f>
      </c>
      <c r="N3" s="93">
        <f>PDD!N3+'得物'!N3+'视频号+官网+小程序'!N3+'唯品会'!N3</f>
      </c>
      <c r="O3" s="93">
        <f>SUM(C3:N3)</f>
      </c>
      <c r="P3" s="93"/>
      <c r="Q3" s="146" t="str">
        <v>渠道填写</v>
      </c>
    </row>
    <row r="4">
      <c r="A4" s="97"/>
      <c r="B4" s="94" t="str">
        <v>自补前GSV</v>
      </c>
      <c r="C4" s="93">
        <f>PDD!C4+'得物'!C4+'视频号+官网+小程序'!C4+'唯品会'!C4</f>
      </c>
      <c r="D4" s="93">
        <f>PDD!D4+'得物'!D4+'视频号+官网+小程序'!D4+'唯品会'!D4</f>
      </c>
      <c r="E4" s="93">
        <f>PDD!E4+'得物'!E4+'视频号+官网+小程序'!E4+'唯品会'!E4</f>
      </c>
      <c r="F4" s="93">
        <f>PDD!F4+'得物'!F4+'视频号+官网+小程序'!F4+'唯品会'!F4</f>
      </c>
      <c r="G4" s="93">
        <f>PDD!G4+'得物'!G4+'视频号+官网+小程序'!G4+'唯品会'!G4</f>
      </c>
      <c r="H4" s="93">
        <f>PDD!H4+'得物'!H4+'视频号+官网+小程序'!H4+'唯品会'!H4</f>
      </c>
      <c r="I4" s="93">
        <f>PDD!I4+'得物'!I4+'视频号+官网+小程序'!I4+'唯品会'!I4</f>
      </c>
      <c r="J4" s="93">
        <f>PDD!J4+'得物'!J4+'视频号+官网+小程序'!J4+'唯品会'!J4</f>
      </c>
      <c r="K4" s="93">
        <f>PDD!K4+'得物'!K4+'视频号+官网+小程序'!K4+'唯品会'!K4</f>
      </c>
      <c r="L4" s="93">
        <f>PDD!L4+'得物'!L4+'视频号+官网+小程序'!L4+'唯品会'!L4</f>
      </c>
      <c r="M4" s="93">
        <f>PDD!M4+'得物'!M4+'视频号+官网+小程序'!M4+'唯品会'!M4</f>
      </c>
      <c r="N4" s="93">
        <f>PDD!N4+'得物'!N4+'视频号+官网+小程序'!N4+'唯品会'!N4</f>
      </c>
      <c r="O4" s="93">
        <f>SUM(C4:N4)</f>
      </c>
      <c r="P4" s="93"/>
      <c r="Q4" s="146" t="str">
        <v>渠道填写</v>
      </c>
    </row>
    <row r="5">
      <c r="A5" s="97"/>
      <c r="B5" s="94" t="str">
        <v>国补自补费用</v>
      </c>
      <c r="C5" s="93">
        <f>PDD!C5+'得物'!C5+'视频号+官网+小程序'!C5+'唯品会'!C5</f>
      </c>
      <c r="D5" s="93">
        <f>PDD!D5+'得物'!D5+'视频号+官网+小程序'!D5+'唯品会'!D5</f>
      </c>
      <c r="E5" s="93">
        <f>PDD!E5+'得物'!E5+'视频号+官网+小程序'!E5+'唯品会'!E5</f>
      </c>
      <c r="F5" s="93">
        <f>PDD!F5+'得物'!F5+'视频号+官网+小程序'!F5+'唯品会'!F5</f>
      </c>
      <c r="G5" s="93">
        <f>PDD!G5+'得物'!G5+'视频号+官网+小程序'!G5+'唯品会'!G5</f>
      </c>
      <c r="H5" s="93">
        <f>PDD!H5+'得物'!H5+'视频号+官网+小程序'!H5+'唯品会'!H5</f>
      </c>
      <c r="I5" s="93">
        <f>PDD!I5+'得物'!I5+'视频号+官网+小程序'!I5+'唯品会'!I5</f>
      </c>
      <c r="J5" s="93">
        <f>PDD!J5+'得物'!J5+'视频号+官网+小程序'!J5+'唯品会'!J5</f>
      </c>
      <c r="K5" s="93">
        <f>PDD!K5+'得物'!K5+'视频号+官网+小程序'!K5+'唯品会'!K5</f>
      </c>
      <c r="L5" s="93">
        <f>PDD!L5+'得物'!L5+'视频号+官网+小程序'!L5+'唯品会'!L5</f>
      </c>
      <c r="M5" s="93">
        <f>PDD!M5+'得物'!M5+'视频号+官网+小程序'!M5+'唯品会'!M5</f>
      </c>
      <c r="N5" s="93">
        <f>PDD!N5+'得物'!N5+'视频号+官网+小程序'!N5+'唯品会'!N5</f>
      </c>
      <c r="O5" s="93">
        <f>SUM(C5:N5)</f>
      </c>
      <c r="P5" s="93"/>
      <c r="Q5" s="126" t="str">
        <v>渠道填写</v>
      </c>
    </row>
    <row r="6">
      <c r="A6" s="97"/>
      <c r="B6" s="98" t="str">
        <v>GMV（国补后）</v>
      </c>
      <c r="C6" s="95">
        <f>PDD!C6+'得物'!C6+'视频号+官网+小程序'!C6+'唯品会'!C6</f>
      </c>
      <c r="D6" s="95">
        <f>PDD!D6+'得物'!D6+'视频号+官网+小程序'!D6+'唯品会'!D6</f>
      </c>
      <c r="E6" s="95">
        <f>PDD!E6+'得物'!E6+'视频号+官网+小程序'!E6+'唯品会'!E6</f>
      </c>
      <c r="F6" s="95">
        <f>PDD!F6+'得物'!F6+'视频号+官网+小程序'!F6+'唯品会'!F6</f>
      </c>
      <c r="G6" s="95">
        <f>PDD!G6+'得物'!G6+'视频号+官网+小程序'!G6+'唯品会'!G6</f>
      </c>
      <c r="H6" s="95">
        <f>PDD!H6+'得物'!H6+'视频号+官网+小程序'!H6+'唯品会'!H6</f>
      </c>
      <c r="I6" s="95">
        <f>PDD!I6+'得物'!I6+'视频号+官网+小程序'!I6+'唯品会'!I6</f>
      </c>
      <c r="J6" s="95">
        <f>PDD!J6+'得物'!J6+'视频号+官网+小程序'!J6+'唯品会'!J6</f>
      </c>
      <c r="K6" s="95">
        <f>PDD!K6+'得物'!K6+'视频号+官网+小程序'!K6+'唯品会'!K6</f>
      </c>
      <c r="L6" s="95">
        <f>PDD!L6+'得物'!L6+'视频号+官网+小程序'!L6+'唯品会'!L6</f>
      </c>
      <c r="M6" s="95">
        <f>PDD!M6+'得物'!M6+'视频号+官网+小程序'!M6+'唯品会'!M6</f>
      </c>
      <c r="N6" s="95">
        <f>PDD!N6+'得物'!N6+'视频号+官网+小程序'!N6+'唯品会'!N6</f>
      </c>
      <c r="O6" s="95">
        <f>SUM(C6:N6)</f>
      </c>
      <c r="P6" s="95"/>
      <c r="Q6" s="126" t="str">
        <v>渠道填写</v>
      </c>
    </row>
    <row r="7">
      <c r="A7" s="97"/>
      <c r="B7" s="102" t="str">
        <v>退货率（发货前+后）</v>
      </c>
      <c r="C7" s="103">
        <v>0.3</v>
      </c>
      <c r="D7" s="103">
        <v>0.3</v>
      </c>
      <c r="E7" s="103">
        <v>0.3</v>
      </c>
      <c r="F7" s="103">
        <v>0.3</v>
      </c>
      <c r="G7" s="103">
        <v>0.3</v>
      </c>
      <c r="H7" s="103">
        <v>0.3</v>
      </c>
      <c r="I7" s="103">
        <v>0.3</v>
      </c>
      <c r="J7" s="103">
        <v>0.3</v>
      </c>
      <c r="K7" s="103">
        <v>0.3</v>
      </c>
      <c r="L7" s="103">
        <v>0.3</v>
      </c>
      <c r="M7" s="103">
        <v>0.3</v>
      </c>
      <c r="N7" s="103">
        <v>0.3</v>
      </c>
      <c r="O7" s="103">
        <f>1-O8/O6</f>
      </c>
      <c r="P7" s="103"/>
      <c r="Q7" s="1" t="str">
        <v>渠道填写</v>
      </c>
    </row>
    <row r="8">
      <c r="A8" s="97"/>
      <c r="B8" s="98" t="str">
        <v>GSV（国补后）</v>
      </c>
      <c r="C8" s="95">
        <f>PDD!C8+'得物'!C8+'视频号+官网+小程序'!C8+'唯品会'!C8</f>
      </c>
      <c r="D8" s="95">
        <f>PDD!D8+'得物'!D8+'视频号+官网+小程序'!D8+'唯品会'!D8</f>
      </c>
      <c r="E8" s="95">
        <f>PDD!E8+'得物'!E8+'视频号+官网+小程序'!E8+'唯品会'!E8</f>
      </c>
      <c r="F8" s="95">
        <f>PDD!F8+'得物'!F8+'视频号+官网+小程序'!F8+'唯品会'!F8</f>
      </c>
      <c r="G8" s="95">
        <f>PDD!G8+'得物'!G8+'视频号+官网+小程序'!G8+'唯品会'!G8</f>
      </c>
      <c r="H8" s="95">
        <f>PDD!H8+'得物'!H8+'视频号+官网+小程序'!H8+'唯品会'!H8</f>
      </c>
      <c r="I8" s="95">
        <f>PDD!I8+'得物'!I8+'视频号+官网+小程序'!I8+'唯品会'!I8</f>
      </c>
      <c r="J8" s="95">
        <f>PDD!J8+'得物'!J8+'视频号+官网+小程序'!J8+'唯品会'!J8</f>
      </c>
      <c r="K8" s="95">
        <f>PDD!K8+'得物'!K8+'视频号+官网+小程序'!K8+'唯品会'!K8</f>
      </c>
      <c r="L8" s="95">
        <f>PDD!L8+'得物'!L8+'视频号+官网+小程序'!L8+'唯品会'!L8</f>
      </c>
      <c r="M8" s="95">
        <f>PDD!M8+'得物'!M8+'视频号+官网+小程序'!M8+'唯品会'!M8</f>
      </c>
      <c r="N8" s="95">
        <f>PDD!N8+'得物'!N8+'视频号+官网+小程序'!N8+'唯品会'!N8</f>
      </c>
      <c r="O8" s="95">
        <f>SUM(C8:N8)</f>
      </c>
      <c r="P8" s="95"/>
      <c r="Q8" s="1" t="str">
        <v>渠道填写</v>
      </c>
    </row>
    <row r="9">
      <c r="B9" s="90"/>
      <c r="C9" s="88">
        <f>PDD!C9+'得物'!C9+'视频号+官网+小程序'!C9+'唯品会'!C9</f>
      </c>
      <c r="D9" s="88">
        <f>PDD!D9+'得物'!D9+'视频号+官网+小程序'!D9+'唯品会'!D9</f>
      </c>
      <c r="E9" s="88">
        <f>PDD!E9+'得物'!E9+'视频号+官网+小程序'!E9+'唯品会'!E9</f>
      </c>
      <c r="F9" s="88">
        <f>PDD!F9+'得物'!F9+'视频号+官网+小程序'!F9+'唯品会'!F9</f>
      </c>
      <c r="G9" s="88">
        <f>PDD!G9+'得物'!G9+'视频号+官网+小程序'!G9+'唯品会'!G9</f>
      </c>
      <c r="H9" s="88">
        <f>PDD!H9+'得物'!H9+'视频号+官网+小程序'!H9+'唯品会'!H9</f>
      </c>
      <c r="I9" s="88">
        <f>PDD!I9+'得物'!I9+'视频号+官网+小程序'!I9+'唯品会'!I9</f>
      </c>
      <c r="J9" s="88">
        <f>PDD!J9+'得物'!J9+'视频号+官网+小程序'!J9+'唯品会'!J9</f>
      </c>
      <c r="K9" s="88">
        <f>PDD!K9+'得物'!K9+'视频号+官网+小程序'!K9+'唯品会'!K9</f>
      </c>
      <c r="L9" s="88">
        <f>PDD!L9+'得物'!L9+'视频号+官网+小程序'!L9+'唯品会'!L9</f>
      </c>
      <c r="M9" s="88">
        <f>PDD!M9+'得物'!M9+'视频号+官网+小程序'!M9+'唯品会'!M9</f>
      </c>
      <c r="N9" s="88">
        <f>PDD!N9+'得物'!N9+'视频号+官网+小程序'!N9+'唯品会'!N9</f>
      </c>
      <c r="O9" s="88">
        <f>O10-O14-O15</f>
      </c>
      <c r="P9" s="88"/>
      <c r="Q9" s="1"/>
    </row>
    <row r="10">
      <c r="A10" s="97"/>
      <c r="B10" s="98" t="str">
        <v>零售价（去除退货后的）</v>
      </c>
      <c r="C10" s="95">
        <f>PDD!C10+'得物'!C10+'视频号+官网+小程序'!C10+'唯品会'!C10</f>
      </c>
      <c r="D10" s="95">
        <f>PDD!D10+'得物'!D10+'视频号+官网+小程序'!D10+'唯品会'!D10</f>
      </c>
      <c r="E10" s="95">
        <f>PDD!E10+'得物'!E10+'视频号+官网+小程序'!E10+'唯品会'!E10</f>
      </c>
      <c r="F10" s="95">
        <f>PDD!F10+'得物'!F10+'视频号+官网+小程序'!F10+'唯品会'!F10</f>
      </c>
      <c r="G10" s="95">
        <f>PDD!G10+'得物'!G10+'视频号+官网+小程序'!G10+'唯品会'!G10</f>
      </c>
      <c r="H10" s="95">
        <f>PDD!H10+'得物'!H10+'视频号+官网+小程序'!H10+'唯品会'!H10</f>
      </c>
      <c r="I10" s="95">
        <f>PDD!I10+'得物'!I10+'视频号+官网+小程序'!I10+'唯品会'!I10</f>
      </c>
      <c r="J10" s="95">
        <f>PDD!J10+'得物'!J10+'视频号+官网+小程序'!J10+'唯品会'!J10</f>
      </c>
      <c r="K10" s="95">
        <f>PDD!K10+'得物'!K10+'视频号+官网+小程序'!K10+'唯品会'!K10</f>
      </c>
      <c r="L10" s="95">
        <f>PDD!L10+'得物'!L10+'视频号+官网+小程序'!L10+'唯品会'!L10</f>
      </c>
      <c r="M10" s="95">
        <f>PDD!M10+'得物'!M10+'视频号+官网+小程序'!M10+'唯品会'!M10</f>
      </c>
      <c r="N10" s="95">
        <f>PDD!N10+'得物'!N10+'视频号+官网+小程序'!N10+'唯品会'!N10</f>
      </c>
      <c r="O10" s="95">
        <f>SUM(C10:N10)</f>
      </c>
      <c r="P10" s="95"/>
      <c r="Q10" s="1"/>
    </row>
    <row r="11">
      <c r="B11" s="85" t="str">
        <v>合同折扣及返利 (线下）</v>
      </c>
      <c r="C11" s="84">
        <f>PDD!C11+'得物'!C11+'视频号+官网+小程序'!C11+'唯品会'!C11</f>
      </c>
      <c r="D11" s="84">
        <f>PDD!D11+'得物'!D11+'视频号+官网+小程序'!D11+'唯品会'!D11</f>
      </c>
      <c r="E11" s="84">
        <f>PDD!E11+'得物'!E11+'视频号+官网+小程序'!E11+'唯品会'!E11</f>
      </c>
      <c r="F11" s="84">
        <f>PDD!F11+'得物'!F11+'视频号+官网+小程序'!F11+'唯品会'!F11</f>
      </c>
      <c r="G11" s="84">
        <f>PDD!G11+'得物'!G11+'视频号+官网+小程序'!G11+'唯品会'!G11</f>
      </c>
      <c r="H11" s="84">
        <f>PDD!H11+'得物'!H11+'视频号+官网+小程序'!H11+'唯品会'!H11</f>
      </c>
      <c r="I11" s="84">
        <f>PDD!I11+'得物'!I11+'视频号+官网+小程序'!I11+'唯品会'!I11</f>
      </c>
      <c r="J11" s="84">
        <f>PDD!J11+'得物'!J11+'视频号+官网+小程序'!J11+'唯品会'!J11</f>
      </c>
      <c r="K11" s="84">
        <f>PDD!K11+'得物'!K11+'视频号+官网+小程序'!K11+'唯品会'!K11</f>
      </c>
      <c r="L11" s="84">
        <f>PDD!L11+'得物'!L11+'视频号+官网+小程序'!L11+'唯品会'!L11</f>
      </c>
      <c r="M11" s="84">
        <f>PDD!M11+'得物'!M11+'视频号+官网+小程序'!M11+'唯品会'!M11</f>
      </c>
      <c r="N11" s="84">
        <f>PDD!N11+'得物'!N11+'视频号+官网+小程序'!N11+'唯品会'!N11</f>
      </c>
      <c r="O11" s="84">
        <f>SUM(C11:N11)</f>
      </c>
      <c r="P11" s="84"/>
      <c r="Q11" s="1" t="str">
        <v>线下渠道填写</v>
      </c>
    </row>
    <row r="12">
      <c r="B12" s="85" t="str">
        <v>国补自补 （线上）</v>
      </c>
      <c r="C12" s="84">
        <f>PDD!C12+'得物'!C12+'视频号+官网+小程序'!C12+'唯品会'!C12</f>
      </c>
      <c r="D12" s="84">
        <f>PDD!D12+'得物'!D12+'视频号+官网+小程序'!D12+'唯品会'!D12</f>
      </c>
      <c r="E12" s="84">
        <f>PDD!E12+'得物'!E12+'视频号+官网+小程序'!E12+'唯品会'!E12</f>
      </c>
      <c r="F12" s="84">
        <f>PDD!F12+'得物'!F12+'视频号+官网+小程序'!F12+'唯品会'!F12</f>
      </c>
      <c r="G12" s="84">
        <f>PDD!G12+'得物'!G12+'视频号+官网+小程序'!G12+'唯品会'!G12</f>
      </c>
      <c r="H12" s="84">
        <f>PDD!H12+'得物'!H12+'视频号+官网+小程序'!H12+'唯品会'!H12</f>
      </c>
      <c r="I12" s="84">
        <f>PDD!I12+'得物'!I12+'视频号+官网+小程序'!I12+'唯品会'!I12</f>
      </c>
      <c r="J12" s="84">
        <f>PDD!J12+'得物'!J12+'视频号+官网+小程序'!J12+'唯品会'!J12</f>
      </c>
      <c r="K12" s="84">
        <f>PDD!K12+'得物'!K12+'视频号+官网+小程序'!K12+'唯品会'!K12</f>
      </c>
      <c r="L12" s="84">
        <f>PDD!L12+'得物'!L12+'视频号+官网+小程序'!L12+'唯品会'!L12</f>
      </c>
      <c r="M12" s="84">
        <f>PDD!M12+'得物'!M12+'视频号+官网+小程序'!M12+'唯品会'!M12</f>
      </c>
      <c r="N12" s="84">
        <f>PDD!N12+'得物'!N12+'视频号+官网+小程序'!N12+'唯品会'!N12</f>
      </c>
      <c r="O12" s="84">
        <f>SUM(C12:N12)</f>
      </c>
      <c r="P12" s="183">
        <v>0.1</v>
      </c>
      <c r="Q12" s="1" t="str">
        <v>渠道填写</v>
      </c>
      <c r="R12" s="54">
        <f>O12/$O$10</f>
      </c>
    </row>
    <row r="13">
      <c r="B13" s="85" t="str">
        <v>红包消费券等促销折扣</v>
      </c>
      <c r="C13" s="84">
        <f>PDD!C13+'得物'!C13+'视频号+官网+小程序'!C13+'唯品会'!C13</f>
      </c>
      <c r="D13" s="84">
        <f>PDD!D13+'得物'!D13+'视频号+官网+小程序'!D13+'唯品会'!D13</f>
      </c>
      <c r="E13" s="84">
        <f>PDD!E13+'得物'!E13+'视频号+官网+小程序'!E13+'唯品会'!E13</f>
      </c>
      <c r="F13" s="84">
        <f>PDD!F13+'得物'!F13+'视频号+官网+小程序'!F13+'唯品会'!F13</f>
      </c>
      <c r="G13" s="84">
        <f>PDD!G13+'得物'!G13+'视频号+官网+小程序'!G13+'唯品会'!G13</f>
      </c>
      <c r="H13" s="84">
        <f>PDD!H13+'得物'!H13+'视频号+官网+小程序'!H13+'唯品会'!H13</f>
      </c>
      <c r="I13" s="84">
        <f>PDD!I13+'得物'!I13+'视频号+官网+小程序'!I13+'唯品会'!I13</f>
      </c>
      <c r="J13" s="84">
        <f>PDD!J13+'得物'!J13+'视频号+官网+小程序'!J13+'唯品会'!J13</f>
      </c>
      <c r="K13" s="84">
        <f>PDD!K13+'得物'!K13+'视频号+官网+小程序'!K13+'唯品会'!K13</f>
      </c>
      <c r="L13" s="84">
        <f>PDD!L13+'得物'!L13+'视频号+官网+小程序'!L13+'唯品会'!L13</f>
      </c>
      <c r="M13" s="84">
        <f>PDD!M13+'得物'!M13+'视频号+官网+小程序'!M13+'唯品会'!M13</f>
      </c>
      <c r="N13" s="84">
        <f>PDD!N13+'得物'!N13+'视频号+官网+小程序'!N13+'唯品会'!N13</f>
      </c>
      <c r="O13" s="84">
        <f>O3*$P$12</f>
      </c>
      <c r="P13" s="183">
        <v>0.1</v>
      </c>
      <c r="Q13" s="1" t="str">
        <v>渠道填写</v>
      </c>
      <c r="R13" s="54">
        <f>O13/$O$10</f>
      </c>
    </row>
    <row r="14">
      <c r="B14" s="83" t="str">
        <v>TTL 折扣合计</v>
      </c>
      <c r="C14" s="81">
        <f>PDD!C14+'得物'!C14+'视频号+官网+小程序'!C14+'唯品会'!C14</f>
      </c>
      <c r="D14" s="81">
        <f>PDD!D14+'得物'!D14+'视频号+官网+小程序'!D14+'唯品会'!D14</f>
      </c>
      <c r="E14" s="81">
        <f>PDD!E14+'得物'!E14+'视频号+官网+小程序'!E14+'唯品会'!E14</f>
      </c>
      <c r="F14" s="81">
        <f>PDD!F14+'得物'!F14+'视频号+官网+小程序'!F14+'唯品会'!F14</f>
      </c>
      <c r="G14" s="81">
        <f>PDD!G14+'得物'!G14+'视频号+官网+小程序'!G14+'唯品会'!G14</f>
      </c>
      <c r="H14" s="81">
        <f>PDD!H14+'得物'!H14+'视频号+官网+小程序'!H14+'唯品会'!H14</f>
      </c>
      <c r="I14" s="81">
        <f>PDD!I14+'得物'!I14+'视频号+官网+小程序'!I14+'唯品会'!I14</f>
      </c>
      <c r="J14" s="81">
        <f>PDD!J14+'得物'!J14+'视频号+官网+小程序'!J14+'唯品会'!J14</f>
      </c>
      <c r="K14" s="81">
        <f>PDD!K14+'得物'!K14+'视频号+官网+小程序'!K14+'唯品会'!K14</f>
      </c>
      <c r="L14" s="81">
        <f>PDD!L14+'得物'!L14+'视频号+官网+小程序'!L14+'唯品会'!L14</f>
      </c>
      <c r="M14" s="81">
        <f>PDD!M14+'得物'!M14+'视频号+官网+小程序'!M14+'唯品会'!M14</f>
      </c>
      <c r="N14" s="81">
        <f>PDD!N14+'得物'!N14+'视频号+官网+小程序'!N14+'唯品会'!N14</f>
      </c>
      <c r="O14" s="81">
        <f>SUM(C14:N14)</f>
      </c>
      <c r="P14" s="81"/>
      <c r="Q14" s="1"/>
    </row>
    <row r="15">
      <c r="A15" s="97"/>
      <c r="B15" s="98" t="str">
        <v>GSV</v>
      </c>
      <c r="C15" s="95">
        <f>PDD!C15+'得物'!C15+'视频号+官网+小程序'!C15+'唯品会'!C15</f>
      </c>
      <c r="D15" s="95">
        <f>PDD!D15+'得物'!D15+'视频号+官网+小程序'!D15+'唯品会'!D15</f>
      </c>
      <c r="E15" s="95">
        <f>PDD!E15+'得物'!E15+'视频号+官网+小程序'!E15+'唯品会'!E15</f>
      </c>
      <c r="F15" s="95">
        <f>PDD!F15+'得物'!F15+'视频号+官网+小程序'!F15+'唯品会'!F15</f>
      </c>
      <c r="G15" s="95">
        <f>PDD!G15+'得物'!G15+'视频号+官网+小程序'!G15+'唯品会'!G15</f>
      </c>
      <c r="H15" s="95">
        <f>PDD!H15+'得物'!H15+'视频号+官网+小程序'!H15+'唯品会'!H15</f>
      </c>
      <c r="I15" s="95">
        <f>PDD!I15+'得物'!I15+'视频号+官网+小程序'!I15+'唯品会'!I15</f>
      </c>
      <c r="J15" s="95">
        <f>PDD!J15+'得物'!J15+'视频号+官网+小程序'!J15+'唯品会'!J15</f>
      </c>
      <c r="K15" s="95">
        <f>PDD!K15+'得物'!K15+'视频号+官网+小程序'!K15+'唯品会'!K15</f>
      </c>
      <c r="L15" s="95">
        <f>PDD!L15+'得物'!L15+'视频号+官网+小程序'!L15+'唯品会'!L15</f>
      </c>
      <c r="M15" s="95">
        <f>PDD!M15+'得物'!M15+'视频号+官网+小程序'!M15+'唯品会'!M15</f>
      </c>
      <c r="N15" s="95">
        <f>PDD!N15+'得物'!N15+'视频号+官网+小程序'!N15+'唯品会'!N15</f>
      </c>
      <c r="O15" s="95">
        <f>SUM(C15:N15)</f>
      </c>
      <c r="P15" s="95"/>
      <c r="Q15" s="1"/>
    </row>
    <row r="16">
      <c r="A16" s="97"/>
      <c r="B16" s="98" t="str">
        <v>营业收入</v>
      </c>
      <c r="C16" s="95">
        <f>PDD!C16+'得物'!C16+'视频号+官网+小程序'!C16+'唯品会'!C16</f>
      </c>
      <c r="D16" s="95">
        <f>PDD!D16+'得物'!D16+'视频号+官网+小程序'!D16+'唯品会'!D16</f>
      </c>
      <c r="E16" s="95">
        <f>PDD!E16+'得物'!E16+'视频号+官网+小程序'!E16+'唯品会'!E16</f>
      </c>
      <c r="F16" s="95">
        <f>PDD!F16+'得物'!F16+'视频号+官网+小程序'!F16+'唯品会'!F16</f>
      </c>
      <c r="G16" s="95">
        <f>PDD!G16+'得物'!G16+'视频号+官网+小程序'!G16+'唯品会'!G16</f>
      </c>
      <c r="H16" s="95">
        <f>PDD!H16+'得物'!H16+'视频号+官网+小程序'!H16+'唯品会'!H16</f>
      </c>
      <c r="I16" s="95">
        <f>PDD!I16+'得物'!I16+'视频号+官网+小程序'!I16+'唯品会'!I16</f>
      </c>
      <c r="J16" s="95">
        <f>PDD!J16+'得物'!J16+'视频号+官网+小程序'!J16+'唯品会'!J16</f>
      </c>
      <c r="K16" s="95">
        <f>PDD!K16+'得物'!K16+'视频号+官网+小程序'!K16+'唯品会'!K16</f>
      </c>
      <c r="L16" s="95">
        <f>PDD!L16+'得物'!L16+'视频号+官网+小程序'!L16+'唯品会'!L16</f>
      </c>
      <c r="M16" s="95">
        <f>PDD!M16+'得物'!M16+'视频号+官网+小程序'!M16+'唯品会'!M16</f>
      </c>
      <c r="N16" s="95">
        <f>PDD!N16+'得物'!N16+'视频号+官网+小程序'!N16+'唯品会'!N16</f>
      </c>
      <c r="O16" s="95">
        <f>SUM(C16:N16)</f>
      </c>
      <c r="P16" s="95"/>
      <c r="Q16" s="1"/>
    </row>
    <row r="17">
      <c r="C17">
        <f>PDD!C17+'得物'!C17+'视频号+官网+小程序'!C17+'唯品会'!C17</f>
      </c>
      <c r="D17">
        <f>PDD!D17+'得物'!D17+'视频号+官网+小程序'!D17+'唯品会'!D17</f>
      </c>
      <c r="E17">
        <f>PDD!E17+'得物'!E17+'视频号+官网+小程序'!E17+'唯品会'!E17</f>
      </c>
      <c r="F17">
        <f>PDD!F17+'得物'!F17+'视频号+官网+小程序'!F17+'唯品会'!F17</f>
      </c>
      <c r="G17">
        <f>PDD!G17+'得物'!G17+'视频号+官网+小程序'!G17+'唯品会'!G17</f>
      </c>
      <c r="H17">
        <f>PDD!H17+'得物'!H17+'视频号+官网+小程序'!H17+'唯品会'!H17</f>
      </c>
      <c r="I17">
        <f>PDD!I17+'得物'!I17+'视频号+官网+小程序'!I17+'唯品会'!I17</f>
      </c>
      <c r="J17">
        <f>PDD!J17+'得物'!J17+'视频号+官网+小程序'!J17+'唯品会'!J17</f>
      </c>
      <c r="K17">
        <f>PDD!K17+'得物'!K17+'视频号+官网+小程序'!K17+'唯品会'!K17</f>
      </c>
      <c r="L17">
        <f>PDD!L17+'得物'!L17+'视频号+官网+小程序'!L17+'唯品会'!L17</f>
      </c>
      <c r="M17">
        <f>PDD!M17+'得物'!M17+'视频号+官网+小程序'!M17+'唯品会'!M17</f>
      </c>
      <c r="N17">
        <f>PDD!N17+'得物'!N17+'视频号+官网+小程序'!N17+'唯品会'!N17</f>
      </c>
      <c r="Q17" s="1"/>
    </row>
    <row r="18">
      <c r="B18" s="85" t="str">
        <v>标准主品配件成本</v>
      </c>
      <c r="C18" s="84">
        <f>PDD!C18+'得物'!C18+'视频号+官网+小程序'!C18+'唯品会'!C18</f>
      </c>
      <c r="D18" s="84">
        <f>PDD!D18+'得物'!D18+'视频号+官网+小程序'!D18+'唯品会'!D18</f>
      </c>
      <c r="E18" s="84">
        <f>PDD!E18+'得物'!E18+'视频号+官网+小程序'!E18+'唯品会'!E18</f>
      </c>
      <c r="F18" s="84">
        <f>PDD!F18+'得物'!F18+'视频号+官网+小程序'!F18+'唯品会'!F18</f>
      </c>
      <c r="G18" s="84">
        <f>PDD!G18+'得物'!G18+'视频号+官网+小程序'!G18+'唯品会'!G18</f>
      </c>
      <c r="H18" s="84">
        <f>PDD!H18+'得物'!H18+'视频号+官网+小程序'!H18+'唯品会'!H18</f>
      </c>
      <c r="I18" s="84">
        <f>PDD!I18+'得物'!I18+'视频号+官网+小程序'!I18+'唯品会'!I18</f>
      </c>
      <c r="J18" s="84">
        <f>PDD!J18+'得物'!J18+'视频号+官网+小程序'!J18+'唯品会'!J18</f>
      </c>
      <c r="K18" s="84">
        <f>PDD!K18+'得物'!K18+'视频号+官网+小程序'!K18+'唯品会'!K18</f>
      </c>
      <c r="L18" s="84">
        <f>PDD!L18+'得物'!L18+'视频号+官网+小程序'!L18+'唯品会'!L18</f>
      </c>
      <c r="M18" s="84">
        <f>PDD!M18+'得物'!M18+'视频号+官网+小程序'!M18+'唯品会'!M18</f>
      </c>
      <c r="N18" s="84">
        <f>PDD!N18+'得物'!N18+'视频号+官网+小程序'!N18+'唯品会'!N18</f>
      </c>
      <c r="O18" s="84">
        <f>SUM(C18:N18)</f>
      </c>
      <c r="P18" s="86">
        <f>O18/O16</f>
      </c>
      <c r="Q18" s="1"/>
    </row>
    <row r="19">
      <c r="B19" s="83" t="str">
        <v>产品毛利</v>
      </c>
      <c r="C19" s="81">
        <f>PDD!C19+'得物'!C19+'视频号+官网+小程序'!C19+'唯品会'!C19</f>
      </c>
      <c r="D19" s="81">
        <f>PDD!D19+'得物'!D19+'视频号+官网+小程序'!D19+'唯品会'!D19</f>
      </c>
      <c r="E19" s="81">
        <f>PDD!E19+'得物'!E19+'视频号+官网+小程序'!E19+'唯品会'!E19</f>
      </c>
      <c r="F19" s="81">
        <f>PDD!F19+'得物'!F19+'视频号+官网+小程序'!F19+'唯品会'!F19</f>
      </c>
      <c r="G19" s="81">
        <f>PDD!G19+'得物'!G19+'视频号+官网+小程序'!G19+'唯品会'!G19</f>
      </c>
      <c r="H19" s="81">
        <f>PDD!H19+'得物'!H19+'视频号+官网+小程序'!H19+'唯品会'!H19</f>
      </c>
      <c r="I19" s="81">
        <f>PDD!I19+'得物'!I19+'视频号+官网+小程序'!I19+'唯品会'!I19</f>
      </c>
      <c r="J19" s="81">
        <f>PDD!J19+'得物'!J19+'视频号+官网+小程序'!J19+'唯品会'!J19</f>
      </c>
      <c r="K19" s="81">
        <f>PDD!K19+'得物'!K19+'视频号+官网+小程序'!K19+'唯品会'!K19</f>
      </c>
      <c r="L19" s="81">
        <f>PDD!L19+'得物'!L19+'视频号+官网+小程序'!L19+'唯品会'!L19</f>
      </c>
      <c r="M19" s="81">
        <f>PDD!M19+'得物'!M19+'视频号+官网+小程序'!M19+'唯品会'!M19</f>
      </c>
      <c r="N19" s="81">
        <f>PDD!N19+'得物'!N19+'视频号+官网+小程序'!N19+'唯品会'!N19</f>
      </c>
      <c r="O19" s="81">
        <f>SUM(C19:N19)</f>
      </c>
      <c r="P19" s="82">
        <f>O19/$O$16</f>
      </c>
      <c r="Q19" s="1"/>
    </row>
    <row r="20">
      <c r="A20" s="88"/>
      <c r="B20" s="90" t="str">
        <v>头程/尾程物流/仓储费用</v>
      </c>
      <c r="C20" s="110">
        <f>PDD!C20+'得物'!C20+'视频号+官网+小程序'!C20+'唯品会'!C20</f>
      </c>
      <c r="D20" s="110">
        <f>PDD!D20+'得物'!D20+'视频号+官网+小程序'!D20+'唯品会'!D20</f>
      </c>
      <c r="E20" s="110">
        <f>PDD!E20+'得物'!E20+'视频号+官网+小程序'!E20+'唯品会'!E20</f>
      </c>
      <c r="F20" s="110">
        <f>PDD!F20+'得物'!F20+'视频号+官网+小程序'!F20+'唯品会'!F20</f>
      </c>
      <c r="G20" s="110">
        <f>PDD!G20+'得物'!G20+'视频号+官网+小程序'!G20+'唯品会'!G20</f>
      </c>
      <c r="H20" s="110">
        <f>PDD!H20+'得物'!H20+'视频号+官网+小程序'!H20+'唯品会'!H20</f>
      </c>
      <c r="I20" s="110">
        <f>PDD!I20+'得物'!I20+'视频号+官网+小程序'!I20+'唯品会'!I20</f>
      </c>
      <c r="J20" s="110">
        <f>PDD!J20+'得物'!J20+'视频号+官网+小程序'!J20+'唯品会'!J20</f>
      </c>
      <c r="K20" s="110">
        <f>PDD!K20+'得物'!K20+'视频号+官网+小程序'!K20+'唯品会'!K20</f>
      </c>
      <c r="L20" s="110">
        <f>PDD!L20+'得物'!L20+'视频号+官网+小程序'!L20+'唯品会'!L20</f>
      </c>
      <c r="M20" s="110">
        <f>PDD!M20+'得物'!M20+'视频号+官网+小程序'!M20+'唯品会'!M20</f>
      </c>
      <c r="N20" s="110">
        <f>PDD!N20+'得物'!N20+'视频号+官网+小程序'!N20+'唯品会'!N20</f>
      </c>
      <c r="O20" s="110">
        <f>SUM(C20:N20)</f>
      </c>
      <c r="P20" s="111">
        <v>0.025</v>
      </c>
      <c r="Q20" s="1"/>
    </row>
    <row r="21">
      <c r="B21" s="83" t="str">
        <v>成本合计（产品+物流）</v>
      </c>
      <c r="C21" s="81">
        <f>PDD!C21+'得物'!C21+'视频号+官网+小程序'!C21+'唯品会'!C21</f>
      </c>
      <c r="D21" s="81">
        <f>PDD!D21+'得物'!D21+'视频号+官网+小程序'!D21+'唯品会'!D21</f>
      </c>
      <c r="E21" s="81">
        <f>PDD!E21+'得物'!E21+'视频号+官网+小程序'!E21+'唯品会'!E21</f>
      </c>
      <c r="F21" s="81">
        <f>PDD!F21+'得物'!F21+'视频号+官网+小程序'!F21+'唯品会'!F21</f>
      </c>
      <c r="G21" s="81">
        <f>PDD!G21+'得物'!G21+'视频号+官网+小程序'!G21+'唯品会'!G21</f>
      </c>
      <c r="H21" s="81">
        <f>PDD!H21+'得物'!H21+'视频号+官网+小程序'!H21+'唯品会'!H21</f>
      </c>
      <c r="I21" s="81">
        <f>PDD!I21+'得物'!I21+'视频号+官网+小程序'!I21+'唯品会'!I21</f>
      </c>
      <c r="J21" s="81">
        <f>PDD!J21+'得物'!J21+'视频号+官网+小程序'!J21+'唯品会'!J21</f>
      </c>
      <c r="K21" s="81">
        <f>PDD!K21+'得物'!K21+'视频号+官网+小程序'!K21+'唯品会'!K21</f>
      </c>
      <c r="L21" s="81">
        <f>PDD!L21+'得物'!L21+'视频号+官网+小程序'!L21+'唯品会'!L21</f>
      </c>
      <c r="M21" s="81">
        <f>PDD!M21+'得物'!M21+'视频号+官网+小程序'!M21+'唯品会'!M21</f>
      </c>
      <c r="N21" s="81">
        <f>PDD!N21+'得物'!N21+'视频号+官网+小程序'!N21+'唯品会'!N21</f>
      </c>
      <c r="O21" s="81">
        <f>SUM(C21:N21)</f>
      </c>
      <c r="P21" s="82">
        <f>O21/$O$16</f>
      </c>
      <c r="Q21" s="1"/>
    </row>
    <row r="22">
      <c r="A22" s="97"/>
      <c r="B22" s="98" t="str">
        <v>净毛利</v>
      </c>
      <c r="C22" s="95">
        <f>PDD!C22+'得物'!C22+'视频号+官网+小程序'!C22+'唯品会'!C22</f>
      </c>
      <c r="D22" s="95">
        <f>PDD!D22+'得物'!D22+'视频号+官网+小程序'!D22+'唯品会'!D22</f>
      </c>
      <c r="E22" s="95">
        <f>PDD!E22+'得物'!E22+'视频号+官网+小程序'!E22+'唯品会'!E22</f>
      </c>
      <c r="F22" s="95">
        <f>PDD!F22+'得物'!F22+'视频号+官网+小程序'!F22+'唯品会'!F22</f>
      </c>
      <c r="G22" s="95">
        <f>PDD!G22+'得物'!G22+'视频号+官网+小程序'!G22+'唯品会'!G22</f>
      </c>
      <c r="H22" s="95">
        <f>PDD!H22+'得物'!H22+'视频号+官网+小程序'!H22+'唯品会'!H22</f>
      </c>
      <c r="I22" s="95">
        <f>PDD!I22+'得物'!I22+'视频号+官网+小程序'!I22+'唯品会'!I22</f>
      </c>
      <c r="J22" s="95">
        <f>PDD!J22+'得物'!J22+'视频号+官网+小程序'!J22+'唯品会'!J22</f>
      </c>
      <c r="K22" s="95">
        <f>PDD!K22+'得物'!K22+'视频号+官网+小程序'!K22+'唯品会'!K22</f>
      </c>
      <c r="L22" s="95">
        <f>PDD!L22+'得物'!L22+'视频号+官网+小程序'!L22+'唯品会'!L22</f>
      </c>
      <c r="M22" s="95">
        <f>PDD!M22+'得物'!M22+'视频号+官网+小程序'!M22+'唯品会'!M22</f>
      </c>
      <c r="N22" s="95">
        <f>PDD!N22+'得物'!N22+'视频号+官网+小程序'!N22+'唯品会'!N22</f>
      </c>
      <c r="O22" s="95">
        <f>SUM(C22:N22)</f>
      </c>
      <c r="P22" s="96">
        <f>O22/$O$16</f>
      </c>
      <c r="Q22" s="1"/>
    </row>
    <row r="23"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91"/>
      <c r="Q23" s="1"/>
    </row>
    <row r="24">
      <c r="B24" s="102" t="str">
        <v>合计毛利率</v>
      </c>
      <c r="C24" s="101">
        <f>IFERROR(1-C21/C16,0)</f>
      </c>
      <c r="D24" s="101">
        <f>IFERROR(1-D21/D16,0)</f>
      </c>
      <c r="E24" s="101">
        <f>IFERROR(1-E21/E16,0)</f>
      </c>
      <c r="F24" s="101">
        <f>IFERROR(1-F21/F16,0)</f>
      </c>
      <c r="G24" s="101">
        <f>IFERROR(1-G21/G16,0)</f>
      </c>
      <c r="H24" s="101">
        <f>IFERROR(1-H21/H16,0)</f>
      </c>
      <c r="I24" s="101">
        <f>IFERROR(1-I21/I16,0)</f>
      </c>
      <c r="J24" s="101">
        <f>IFERROR(1-J21/J16,0)</f>
      </c>
      <c r="K24" s="101">
        <f>IFERROR(1-K21/K16,0)</f>
      </c>
      <c r="L24" s="101">
        <f>IFERROR(1-L21/L16,0)</f>
      </c>
      <c r="M24" s="101">
        <f>IFERROR(1-M21/M16,0)</f>
      </c>
      <c r="N24" s="101">
        <f>IFERROR(1-N21/N16,0)</f>
      </c>
      <c r="O24" s="101">
        <f>IFERROR(1-O21/O16,0)</f>
      </c>
      <c r="P24" s="91"/>
      <c r="Q24" s="1"/>
    </row>
    <row r="25"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91"/>
      <c r="Q25" s="1"/>
    </row>
    <row r="26">
      <c r="B26" s="85" t="str">
        <v>品牌及内容费用</v>
      </c>
      <c r="C26" s="84">
        <f>PDD!C26+'得物'!C26+'视频号+官网+小程序'!C26+'唯品会'!C26</f>
      </c>
      <c r="D26" s="84">
        <f>PDD!D26+'得物'!D26+'视频号+官网+小程序'!D26+'唯品会'!D26</f>
      </c>
      <c r="E26" s="84">
        <f>PDD!E26+'得物'!E26+'视频号+官网+小程序'!E26+'唯品会'!E26</f>
      </c>
      <c r="F26" s="84">
        <f>PDD!F26+'得物'!F26+'视频号+官网+小程序'!F26+'唯品会'!F26</f>
      </c>
      <c r="G26" s="84">
        <f>PDD!G26+'得物'!G26+'视频号+官网+小程序'!G26+'唯品会'!G26</f>
      </c>
      <c r="H26" s="84">
        <f>PDD!H26+'得物'!H26+'视频号+官网+小程序'!H26+'唯品会'!H26</f>
      </c>
      <c r="I26" s="84">
        <f>PDD!I26+'得物'!I26+'视频号+官网+小程序'!I26+'唯品会'!I26</f>
      </c>
      <c r="J26" s="84">
        <f>PDD!J26+'得物'!J26+'视频号+官网+小程序'!J26+'唯品会'!J26</f>
      </c>
      <c r="K26" s="84">
        <f>PDD!K26+'得物'!K26+'视频号+官网+小程序'!K26+'唯品会'!K26</f>
      </c>
      <c r="L26" s="84">
        <f>PDD!L26+'得物'!L26+'视频号+官网+小程序'!L26+'唯品会'!L26</f>
      </c>
      <c r="M26" s="84">
        <f>PDD!M26+'得物'!M26+'视频号+官网+小程序'!M26+'唯品会'!M26</f>
      </c>
      <c r="N26" s="84">
        <f>PDD!N26+'得物'!N26+'视频号+官网+小程序'!N26+'唯品会'!N26</f>
      </c>
      <c r="O26" s="84">
        <f>SUM(C26:N26)</f>
      </c>
      <c r="P26" s="86">
        <f>O26/$O$16</f>
      </c>
      <c r="Q26" s="1"/>
    </row>
    <row r="27">
      <c r="A27" s="88"/>
      <c r="B27" s="90" t="str">
        <v>展会</v>
      </c>
      <c r="C27" s="89">
        <f>PDD!C27+'得物'!C27+'视频号+官网+小程序'!C27+'唯品会'!C27</f>
      </c>
      <c r="D27" s="89">
        <f>PDD!D27+'得物'!D27+'视频号+官网+小程序'!D27+'唯品会'!D27</f>
      </c>
      <c r="E27" s="89">
        <f>PDD!E27+'得物'!E27+'视频号+官网+小程序'!E27+'唯品会'!E27</f>
      </c>
      <c r="F27" s="89">
        <f>PDD!F27+'得物'!F27+'视频号+官网+小程序'!F27+'唯品会'!F27</f>
      </c>
      <c r="G27" s="89">
        <f>PDD!G27+'得物'!G27+'视频号+官网+小程序'!G27+'唯品会'!G27</f>
      </c>
      <c r="H27" s="89">
        <f>PDD!H27+'得物'!H27+'视频号+官网+小程序'!H27+'唯品会'!H27</f>
      </c>
      <c r="I27" s="89">
        <f>PDD!I27+'得物'!I27+'视频号+官网+小程序'!I27+'唯品会'!I27</f>
      </c>
      <c r="J27" s="89">
        <f>PDD!J27+'得物'!J27+'视频号+官网+小程序'!J27+'唯品会'!J27</f>
      </c>
      <c r="K27" s="89">
        <f>PDD!K27+'得物'!K27+'视频号+官网+小程序'!K27+'唯品会'!K27</f>
      </c>
      <c r="L27" s="89">
        <f>PDD!L27+'得物'!L27+'视频号+官网+小程序'!L27+'唯品会'!L27</f>
      </c>
      <c r="M27" s="89">
        <f>PDD!M27+'得物'!M27+'视频号+官网+小程序'!M27+'唯品会'!M27</f>
      </c>
      <c r="N27" s="89">
        <f>PDD!N27+'得物'!N27+'视频号+官网+小程序'!N27+'唯品会'!N27</f>
      </c>
      <c r="O27" s="88">
        <f>SUM(C27:N27)</f>
      </c>
      <c r="P27" s="91">
        <f>O27/$O$16</f>
      </c>
      <c r="Q27" s="90"/>
    </row>
    <row r="28">
      <c r="A28" s="88"/>
      <c r="B28" s="90" t="str">
        <v>品牌营销</v>
      </c>
      <c r="C28" s="89">
        <f>PDD!C28+'得物'!C28+'视频号+官网+小程序'!C28+'唯品会'!C28</f>
      </c>
      <c r="D28" s="89">
        <f>PDD!D28+'得物'!D28+'视频号+官网+小程序'!D28+'唯品会'!D28</f>
      </c>
      <c r="E28" s="89">
        <f>PDD!E28+'得物'!E28+'视频号+官网+小程序'!E28+'唯品会'!E28</f>
      </c>
      <c r="F28" s="89">
        <f>PDD!F28+'得物'!F28+'视频号+官网+小程序'!F28+'唯品会'!F28</f>
      </c>
      <c r="G28" s="89">
        <f>PDD!G28+'得物'!G28+'视频号+官网+小程序'!G28+'唯品会'!G28</f>
      </c>
      <c r="H28" s="89">
        <f>PDD!H28+'得物'!H28+'视频号+官网+小程序'!H28+'唯品会'!H28</f>
      </c>
      <c r="I28" s="89">
        <f>PDD!I28+'得物'!I28+'视频号+官网+小程序'!I28+'唯品会'!I28</f>
      </c>
      <c r="J28" s="89">
        <f>PDD!J28+'得物'!J28+'视频号+官网+小程序'!J28+'唯品会'!J28</f>
      </c>
      <c r="K28" s="89">
        <f>PDD!K28+'得物'!K28+'视频号+官网+小程序'!K28+'唯品会'!K28</f>
      </c>
      <c r="L28" s="89">
        <f>PDD!L28+'得物'!L28+'视频号+官网+小程序'!L28+'唯品会'!L28</f>
      </c>
      <c r="M28" s="89">
        <f>PDD!M28+'得物'!M28+'视频号+官网+小程序'!M28+'唯品会'!M28</f>
      </c>
      <c r="N28" s="89">
        <f>PDD!N28+'得物'!N28+'视频号+官网+小程序'!N28+'唯品会'!N28</f>
      </c>
      <c r="O28" s="88">
        <f>SUM(C28:N28)</f>
      </c>
      <c r="P28" s="91">
        <f>O28/$O$16</f>
      </c>
      <c r="Q28" s="90"/>
    </row>
    <row r="29">
      <c r="A29" s="88"/>
      <c r="B29" s="90" t="str">
        <v>内容素材制作</v>
      </c>
      <c r="C29" s="89">
        <f>PDD!C29+'得物'!C29+'视频号+官网+小程序'!C29+'唯品会'!C29</f>
      </c>
      <c r="D29" s="89">
        <f>PDD!D29+'得物'!D29+'视频号+官网+小程序'!D29+'唯品会'!D29</f>
      </c>
      <c r="E29" s="89">
        <f>PDD!E29+'得物'!E29+'视频号+官网+小程序'!E29+'唯品会'!E29</f>
      </c>
      <c r="F29" s="89">
        <f>PDD!F29+'得物'!F29+'视频号+官网+小程序'!F29+'唯品会'!F29</f>
      </c>
      <c r="G29" s="89">
        <f>PDD!G29+'得物'!G29+'视频号+官网+小程序'!G29+'唯品会'!G29</f>
      </c>
      <c r="H29" s="89">
        <f>PDD!H29+'得物'!H29+'视频号+官网+小程序'!H29+'唯品会'!H29</f>
      </c>
      <c r="I29" s="89">
        <f>PDD!I29+'得物'!I29+'视频号+官网+小程序'!I29+'唯品会'!I29</f>
      </c>
      <c r="J29" s="89">
        <f>PDD!J29+'得物'!J29+'视频号+官网+小程序'!J29+'唯品会'!J29</f>
      </c>
      <c r="K29" s="89">
        <f>PDD!K29+'得物'!K29+'视频号+官网+小程序'!K29+'唯品会'!K29</f>
      </c>
      <c r="L29" s="89">
        <f>PDD!L29+'得物'!L29+'视频号+官网+小程序'!L29+'唯品会'!L29</f>
      </c>
      <c r="M29" s="89">
        <f>PDD!M29+'得物'!M29+'视频号+官网+小程序'!M29+'唯品会'!M29</f>
      </c>
      <c r="N29" s="89">
        <f>PDD!N29+'得物'!N29+'视频号+官网+小程序'!N29+'唯品会'!N29</f>
      </c>
      <c r="O29" s="88">
        <f>SUM(C29:N29)</f>
      </c>
      <c r="P29" s="91">
        <f>O29/$O$16</f>
      </c>
      <c r="Q29" s="1"/>
    </row>
    <row r="30">
      <c r="A30" s="88"/>
      <c r="B30" s="90" t="str">
        <v>公关费用</v>
      </c>
      <c r="C30" s="89">
        <f>PDD!C30+'得物'!C30+'视频号+官网+小程序'!C30+'唯品会'!C30</f>
      </c>
      <c r="D30" s="89">
        <f>PDD!D30+'得物'!D30+'视频号+官网+小程序'!D30+'唯品会'!D30</f>
      </c>
      <c r="E30" s="89">
        <f>PDD!E30+'得物'!E30+'视频号+官网+小程序'!E30+'唯品会'!E30</f>
      </c>
      <c r="F30" s="89">
        <f>PDD!F30+'得物'!F30+'视频号+官网+小程序'!F30+'唯品会'!F30</f>
      </c>
      <c r="G30" s="89">
        <f>PDD!G30+'得物'!G30+'视频号+官网+小程序'!G30+'唯品会'!G30</f>
      </c>
      <c r="H30" s="89">
        <f>PDD!H30+'得物'!H30+'视频号+官网+小程序'!H30+'唯品会'!H30</f>
      </c>
      <c r="I30" s="89">
        <f>PDD!I30+'得物'!I30+'视频号+官网+小程序'!I30+'唯品会'!I30</f>
      </c>
      <c r="J30" s="89">
        <f>PDD!J30+'得物'!J30+'视频号+官网+小程序'!J30+'唯品会'!J30</f>
      </c>
      <c r="K30" s="89">
        <f>PDD!K30+'得物'!K30+'视频号+官网+小程序'!K30+'唯品会'!K30</f>
      </c>
      <c r="L30" s="89">
        <f>PDD!L30+'得物'!L30+'视频号+官网+小程序'!L30+'唯品会'!L30</f>
      </c>
      <c r="M30" s="89">
        <f>PDD!M30+'得物'!M30+'视频号+官网+小程序'!M30+'唯品会'!M30</f>
      </c>
      <c r="N30" s="89">
        <f>PDD!N30+'得物'!N30+'视频号+官网+小程序'!N30+'唯品会'!N30</f>
      </c>
      <c r="O30" s="88">
        <f>SUM(C30:N30)</f>
      </c>
      <c r="P30" s="91">
        <f>O30/$O$16</f>
      </c>
      <c r="Q30" s="1"/>
    </row>
    <row r="31">
      <c r="A31" s="88"/>
      <c r="B31" s="90" t="str">
        <v>达人种草、样机及加热</v>
      </c>
      <c r="C31" s="89">
        <f>PDD!C31+'得物'!C31+'视频号+官网+小程序'!C31+'唯品会'!C31</f>
      </c>
      <c r="D31" s="89">
        <f>PDD!D31+'得物'!D31+'视频号+官网+小程序'!D31+'唯品会'!D31</f>
      </c>
      <c r="E31" s="89">
        <f>PDD!E31+'得物'!E31+'视频号+官网+小程序'!E31+'唯品会'!E31</f>
      </c>
      <c r="F31" s="89">
        <f>PDD!F31+'得物'!F31+'视频号+官网+小程序'!F31+'唯品会'!F31</f>
      </c>
      <c r="G31" s="89">
        <f>PDD!G31+'得物'!G31+'视频号+官网+小程序'!G31+'唯品会'!G31</f>
      </c>
      <c r="H31" s="89">
        <f>PDD!H31+'得物'!H31+'视频号+官网+小程序'!H31+'唯品会'!H31</f>
      </c>
      <c r="I31" s="89">
        <f>PDD!I31+'得物'!I31+'视频号+官网+小程序'!I31+'唯品会'!I31</f>
      </c>
      <c r="J31" s="89">
        <f>PDD!J31+'得物'!J31+'视频号+官网+小程序'!J31+'唯品会'!J31</f>
      </c>
      <c r="K31" s="89">
        <f>PDD!K31+'得物'!K31+'视频号+官网+小程序'!K31+'唯品会'!K31</f>
      </c>
      <c r="L31" s="89">
        <f>PDD!L31+'得物'!L31+'视频号+官网+小程序'!L31+'唯品会'!L31</f>
      </c>
      <c r="M31" s="89">
        <f>PDD!M31+'得物'!M31+'视频号+官网+小程序'!M31+'唯品会'!M31</f>
      </c>
      <c r="N31" s="89">
        <f>PDD!N31+'得物'!N31+'视频号+官网+小程序'!N31+'唯品会'!N31</f>
      </c>
      <c r="O31" s="88">
        <f>SUM(C31:N31)</f>
      </c>
      <c r="P31" s="91">
        <f>O31/$O$16</f>
      </c>
      <c r="Q31" s="1"/>
    </row>
    <row outlineLevel="1" r="32">
      <c r="A32" s="88"/>
      <c r="B32" s="90" t="str">
        <v>展会(费率)</v>
      </c>
      <c r="C32" s="88">
        <f>PDD!C32+'得物'!C32+'视频号+官网+小程序'!C32+'唯品会'!C32</f>
      </c>
      <c r="D32" s="88">
        <f>PDD!D32+'得物'!D32+'视频号+官网+小程序'!D32+'唯品会'!D32</f>
      </c>
      <c r="E32" s="88">
        <f>PDD!E32+'得物'!E32+'视频号+官网+小程序'!E32+'唯品会'!E32</f>
      </c>
      <c r="F32" s="88">
        <f>PDD!F32+'得物'!F32+'视频号+官网+小程序'!F32+'唯品会'!F32</f>
      </c>
      <c r="G32" s="88">
        <f>PDD!G32+'得物'!G32+'视频号+官网+小程序'!G32+'唯品会'!G32</f>
      </c>
      <c r="H32" s="88">
        <f>PDD!H32+'得物'!H32+'视频号+官网+小程序'!H32+'唯品会'!H32</f>
      </c>
      <c r="I32" s="88">
        <f>PDD!I32+'得物'!I32+'视频号+官网+小程序'!I32+'唯品会'!I32</f>
      </c>
      <c r="J32" s="88">
        <f>PDD!J32+'得物'!J32+'视频号+官网+小程序'!J32+'唯品会'!J32</f>
      </c>
      <c r="K32" s="88">
        <f>PDD!K32+'得物'!K32+'视频号+官网+小程序'!K32+'唯品会'!K32</f>
      </c>
      <c r="L32" s="88">
        <f>PDD!L32+'得物'!L32+'视频号+官网+小程序'!L32+'唯品会'!L32</f>
      </c>
      <c r="M32" s="88">
        <f>PDD!M32+'得物'!M32+'视频号+官网+小程序'!M32+'唯品会'!M32</f>
      </c>
      <c r="N32" s="88">
        <f>PDD!N32+'得物'!N32+'视频号+官网+小程序'!N32+'唯品会'!N32</f>
      </c>
      <c r="O32" s="88"/>
      <c r="P32" s="91"/>
      <c r="Q32" s="1"/>
    </row>
    <row outlineLevel="1" r="33">
      <c r="A33" s="88"/>
      <c r="B33" s="90" t="str">
        <v>品牌营销（费率）</v>
      </c>
      <c r="C33" s="88">
        <f>PDD!C33+'得物'!C33+'视频号+官网+小程序'!C33+'唯品会'!C33</f>
      </c>
      <c r="D33" s="88">
        <f>PDD!D33+'得物'!D33+'视频号+官网+小程序'!D33+'唯品会'!D33</f>
      </c>
      <c r="E33" s="88">
        <f>PDD!E33+'得物'!E33+'视频号+官网+小程序'!E33+'唯品会'!E33</f>
      </c>
      <c r="F33" s="88">
        <f>PDD!F33+'得物'!F33+'视频号+官网+小程序'!F33+'唯品会'!F33</f>
      </c>
      <c r="G33" s="88">
        <f>PDD!G33+'得物'!G33+'视频号+官网+小程序'!G33+'唯品会'!G33</f>
      </c>
      <c r="H33" s="88">
        <f>PDD!H33+'得物'!H33+'视频号+官网+小程序'!H33+'唯品会'!H33</f>
      </c>
      <c r="I33" s="88">
        <f>PDD!I33+'得物'!I33+'视频号+官网+小程序'!I33+'唯品会'!I33</f>
      </c>
      <c r="J33" s="88">
        <f>PDD!J33+'得物'!J33+'视频号+官网+小程序'!J33+'唯品会'!J33</f>
      </c>
      <c r="K33" s="88">
        <f>PDD!K33+'得物'!K33+'视频号+官网+小程序'!K33+'唯品会'!K33</f>
      </c>
      <c r="L33" s="88">
        <f>PDD!L33+'得物'!L33+'视频号+官网+小程序'!L33+'唯品会'!L33</f>
      </c>
      <c r="M33" s="88">
        <f>PDD!M33+'得物'!M33+'视频号+官网+小程序'!M33+'唯品会'!M33</f>
      </c>
      <c r="N33" s="88">
        <f>PDD!N33+'得物'!N33+'视频号+官网+小程序'!N33+'唯品会'!N33</f>
      </c>
      <c r="O33" s="88"/>
      <c r="P33" s="91"/>
      <c r="Q33" s="1"/>
    </row>
    <row outlineLevel="1" r="34">
      <c r="A34" s="88"/>
      <c r="B34" s="90" t="str">
        <v>内容素材制作（费率）</v>
      </c>
      <c r="C34" s="88">
        <f>PDD!C34+'得物'!C34+'视频号+官网+小程序'!C34+'唯品会'!C34</f>
      </c>
      <c r="D34" s="88">
        <f>PDD!D34+'得物'!D34+'视频号+官网+小程序'!D34+'唯品会'!D34</f>
      </c>
      <c r="E34" s="88">
        <f>PDD!E34+'得物'!E34+'视频号+官网+小程序'!E34+'唯品会'!E34</f>
      </c>
      <c r="F34" s="88">
        <f>PDD!F34+'得物'!F34+'视频号+官网+小程序'!F34+'唯品会'!F34</f>
      </c>
      <c r="G34" s="88">
        <f>PDD!G34+'得物'!G34+'视频号+官网+小程序'!G34+'唯品会'!G34</f>
      </c>
      <c r="H34" s="88">
        <f>PDD!H34+'得物'!H34+'视频号+官网+小程序'!H34+'唯品会'!H34</f>
      </c>
      <c r="I34" s="88">
        <f>PDD!I34+'得物'!I34+'视频号+官网+小程序'!I34+'唯品会'!I34</f>
      </c>
      <c r="J34" s="88">
        <f>PDD!J34+'得物'!J34+'视频号+官网+小程序'!J34+'唯品会'!J34</f>
      </c>
      <c r="K34" s="88">
        <f>PDD!K34+'得物'!K34+'视频号+官网+小程序'!K34+'唯品会'!K34</f>
      </c>
      <c r="L34" s="88">
        <f>PDD!L34+'得物'!L34+'视频号+官网+小程序'!L34+'唯品会'!L34</f>
      </c>
      <c r="M34" s="88">
        <f>PDD!M34+'得物'!M34+'视频号+官网+小程序'!M34+'唯品会'!M34</f>
      </c>
      <c r="N34" s="88">
        <f>PDD!N34+'得物'!N34+'视频号+官网+小程序'!N34+'唯品会'!N34</f>
      </c>
      <c r="O34" s="88"/>
      <c r="P34" s="91"/>
      <c r="Q34" s="1"/>
    </row>
    <row outlineLevel="1" r="35">
      <c r="A35" s="88"/>
      <c r="B35" s="90" t="str">
        <v>公关费用（费率）</v>
      </c>
      <c r="C35" s="88">
        <f>PDD!C35+'得物'!C35+'视频号+官网+小程序'!C35+'唯品会'!C35</f>
      </c>
      <c r="D35" s="88">
        <f>PDD!D35+'得物'!D35+'视频号+官网+小程序'!D35+'唯品会'!D35</f>
      </c>
      <c r="E35" s="88">
        <f>PDD!E35+'得物'!E35+'视频号+官网+小程序'!E35+'唯品会'!E35</f>
      </c>
      <c r="F35" s="88">
        <f>PDD!F35+'得物'!F35+'视频号+官网+小程序'!F35+'唯品会'!F35</f>
      </c>
      <c r="G35" s="88">
        <f>PDD!G35+'得物'!G35+'视频号+官网+小程序'!G35+'唯品会'!G35</f>
      </c>
      <c r="H35" s="88">
        <f>PDD!H35+'得物'!H35+'视频号+官网+小程序'!H35+'唯品会'!H35</f>
      </c>
      <c r="I35" s="88">
        <f>PDD!I35+'得物'!I35+'视频号+官网+小程序'!I35+'唯品会'!I35</f>
      </c>
      <c r="J35" s="88">
        <f>PDD!J35+'得物'!J35+'视频号+官网+小程序'!J35+'唯品会'!J35</f>
      </c>
      <c r="K35" s="88">
        <f>PDD!K35+'得物'!K35+'视频号+官网+小程序'!K35+'唯品会'!K35</f>
      </c>
      <c r="L35" s="88">
        <f>PDD!L35+'得物'!L35+'视频号+官网+小程序'!L35+'唯品会'!L35</f>
      </c>
      <c r="M35" s="88">
        <f>PDD!M35+'得物'!M35+'视频号+官网+小程序'!M35+'唯品会'!M35</f>
      </c>
      <c r="N35" s="88">
        <f>PDD!N35+'得物'!N35+'视频号+官网+小程序'!N35+'唯品会'!N35</f>
      </c>
      <c r="O35" s="88"/>
      <c r="P35" s="91"/>
      <c r="Q35" s="1"/>
    </row>
    <row outlineLevel="1" r="36">
      <c r="A36" s="88"/>
      <c r="B36" s="90" t="str">
        <v>达人种草、样机及加热（费率）</v>
      </c>
      <c r="C36" s="105">
        <f>PDD!C36+'得物'!C36+'视频号+官网+小程序'!C36+'唯品会'!C36</f>
      </c>
      <c r="D36" s="105">
        <f>PDD!D36+'得物'!D36+'视频号+官网+小程序'!D36+'唯品会'!D36</f>
      </c>
      <c r="E36" s="105">
        <f>PDD!E36+'得物'!E36+'视频号+官网+小程序'!E36+'唯品会'!E36</f>
      </c>
      <c r="F36" s="105">
        <f>PDD!F36+'得物'!F36+'视频号+官网+小程序'!F36+'唯品会'!F36</f>
      </c>
      <c r="G36" s="105">
        <f>PDD!G36+'得物'!G36+'视频号+官网+小程序'!G36+'唯品会'!G36</f>
      </c>
      <c r="H36" s="105">
        <f>PDD!H36+'得物'!H36+'视频号+官网+小程序'!H36+'唯品会'!H36</f>
      </c>
      <c r="I36" s="105">
        <f>PDD!I36+'得物'!I36+'视频号+官网+小程序'!I36+'唯品会'!I36</f>
      </c>
      <c r="J36" s="105">
        <f>PDD!J36+'得物'!J36+'视频号+官网+小程序'!J36+'唯品会'!J36</f>
      </c>
      <c r="K36" s="105">
        <f>PDD!K36+'得物'!K36+'视频号+官网+小程序'!K36+'唯品会'!K36</f>
      </c>
      <c r="L36" s="105">
        <f>PDD!L36+'得物'!L36+'视频号+官网+小程序'!L36+'唯品会'!L36</f>
      </c>
      <c r="M36" s="105">
        <f>PDD!M36+'得物'!M36+'视频号+官网+小程序'!M36+'唯品会'!M36</f>
      </c>
      <c r="N36" s="105">
        <f>PDD!N36+'得物'!N36+'视频号+官网+小程序'!N36+'唯品会'!N36</f>
      </c>
      <c r="O36" s="88"/>
      <c r="P36" s="91"/>
      <c r="Q36" s="1"/>
    </row>
    <row r="37">
      <c r="B37" s="85" t="str">
        <v>效果广告</v>
      </c>
      <c r="C37" s="84">
        <f>PDD!C37+'得物'!C37+'视频号+官网+小程序'!C37+'唯品会'!C37</f>
      </c>
      <c r="D37" s="84">
        <f>PDD!D37+'得物'!D37+'视频号+官网+小程序'!D37+'唯品会'!D37</f>
      </c>
      <c r="E37" s="84">
        <f>PDD!E37+'得物'!E37+'视频号+官网+小程序'!E37+'唯品会'!E37</f>
      </c>
      <c r="F37" s="84">
        <f>PDD!F37+'得物'!F37+'视频号+官网+小程序'!F37+'唯品会'!F37</f>
      </c>
      <c r="G37" s="84">
        <f>PDD!G37+'得物'!G37+'视频号+官网+小程序'!G37+'唯品会'!G37</f>
      </c>
      <c r="H37" s="84">
        <f>PDD!H37+'得物'!H37+'视频号+官网+小程序'!H37+'唯品会'!H37</f>
      </c>
      <c r="I37" s="84">
        <f>PDD!I37+'得物'!I37+'视频号+官网+小程序'!I37+'唯品会'!I37</f>
      </c>
      <c r="J37" s="84">
        <f>PDD!J37+'得物'!J37+'视频号+官网+小程序'!J37+'唯品会'!J37</f>
      </c>
      <c r="K37" s="84">
        <f>PDD!K37+'得物'!K37+'视频号+官网+小程序'!K37+'唯品会'!K37</f>
      </c>
      <c r="L37" s="84">
        <f>PDD!L37+'得物'!L37+'视频号+官网+小程序'!L37+'唯品会'!L37</f>
      </c>
      <c r="M37" s="84">
        <f>PDD!M37+'得物'!M37+'视频号+官网+小程序'!M37+'唯品会'!M37</f>
      </c>
      <c r="N37" s="84">
        <f>PDD!N37+'得物'!N37+'视频号+官网+小程序'!N37+'唯品会'!N37</f>
      </c>
      <c r="O37" s="84">
        <f>SUM(C37:N37)</f>
      </c>
      <c r="P37" s="86">
        <f>O37/$O$16</f>
      </c>
      <c r="Q37" s="1"/>
    </row>
    <row r="38">
      <c r="A38" s="88"/>
      <c r="B38" s="90" t="str">
        <v>站内投放</v>
      </c>
      <c r="C38" s="99">
        <f>PDD!C38+'得物'!C38+'视频号+官网+小程序'!C38+'唯品会'!C38</f>
      </c>
      <c r="D38" s="99">
        <f>PDD!D38+'得物'!D38+'视频号+官网+小程序'!D38+'唯品会'!D38</f>
      </c>
      <c r="E38" s="99">
        <f>PDD!E38+'得物'!E38+'视频号+官网+小程序'!E38+'唯品会'!E38</f>
      </c>
      <c r="F38" s="99">
        <f>PDD!F38+'得物'!F38+'视频号+官网+小程序'!F38+'唯品会'!F38</f>
      </c>
      <c r="G38" s="99">
        <f>PDD!G38+'得物'!G38+'视频号+官网+小程序'!G38+'唯品会'!G38</f>
      </c>
      <c r="H38" s="99">
        <f>PDD!H38+'得物'!H38+'视频号+官网+小程序'!H38+'唯品会'!H38</f>
      </c>
      <c r="I38" s="99">
        <f>PDD!I38+'得物'!I38+'视频号+官网+小程序'!I38+'唯品会'!I38</f>
      </c>
      <c r="J38" s="99">
        <f>PDD!J38+'得物'!J38+'视频号+官网+小程序'!J38+'唯品会'!J38</f>
      </c>
      <c r="K38" s="99">
        <f>PDD!K38+'得物'!K38+'视频号+官网+小程序'!K38+'唯品会'!K38</f>
      </c>
      <c r="L38" s="99">
        <f>PDD!L38+'得物'!L38+'视频号+官网+小程序'!L38+'唯品会'!L38</f>
      </c>
      <c r="M38" s="99">
        <f>PDD!M38+'得物'!M38+'视频号+官网+小程序'!M38+'唯品会'!M38</f>
      </c>
      <c r="N38" s="99">
        <f>PDD!N38+'得物'!N38+'视频号+官网+小程序'!N38+'唯品会'!N38</f>
      </c>
      <c r="O38" s="88">
        <f>SUM(C38:N38)</f>
      </c>
      <c r="P38" s="91">
        <f>O38/$O$16</f>
      </c>
      <c r="Q38" s="1" t="str">
        <v>投放填写</v>
      </c>
    </row>
    <row r="39">
      <c r="A39" s="88"/>
      <c r="B39" s="90" t="str">
        <v>千川投放</v>
      </c>
      <c r="C39" s="99">
        <f>PDD!C39+'得物'!C39+'视频号+官网+小程序'!C39+'唯品会'!C39</f>
      </c>
      <c r="D39" s="99">
        <f>PDD!D39+'得物'!D39+'视频号+官网+小程序'!D39+'唯品会'!D39</f>
      </c>
      <c r="E39" s="99">
        <f>PDD!E39+'得物'!E39+'视频号+官网+小程序'!E39+'唯品会'!E39</f>
      </c>
      <c r="F39" s="99">
        <f>PDD!F39+'得物'!F39+'视频号+官网+小程序'!F39+'唯品会'!F39</f>
      </c>
      <c r="G39" s="99">
        <f>PDD!G39+'得物'!G39+'视频号+官网+小程序'!G39+'唯品会'!G39</f>
      </c>
      <c r="H39" s="99">
        <f>PDD!H39+'得物'!H39+'视频号+官网+小程序'!H39+'唯品会'!H39</f>
      </c>
      <c r="I39" s="99">
        <f>PDD!I39+'得物'!I39+'视频号+官网+小程序'!I39+'唯品会'!I39</f>
      </c>
      <c r="J39" s="99">
        <f>PDD!J39+'得物'!J39+'视频号+官网+小程序'!J39+'唯品会'!J39</f>
      </c>
      <c r="K39" s="99">
        <f>PDD!K39+'得物'!K39+'视频号+官网+小程序'!K39+'唯品会'!K39</f>
      </c>
      <c r="L39" s="99">
        <f>PDD!L39+'得物'!L39+'视频号+官网+小程序'!L39+'唯品会'!L39</f>
      </c>
      <c r="M39" s="99">
        <f>PDD!M39+'得物'!M39+'视频号+官网+小程序'!M39+'唯品会'!M39</f>
      </c>
      <c r="N39" s="99">
        <f>PDD!N39+'得物'!N39+'视频号+官网+小程序'!N39+'唯品会'!N39</f>
      </c>
      <c r="O39" s="88">
        <f>SUM(C39:N39)</f>
      </c>
      <c r="P39" s="91">
        <f>O39/$O$16</f>
      </c>
      <c r="Q39" s="1" t="str">
        <v>投放填写</v>
      </c>
    </row>
    <row r="40">
      <c r="A40" s="88"/>
      <c r="B40" s="90" t="str">
        <v>站外投放</v>
      </c>
      <c r="C40" s="99">
        <f>PDD!C40+'得物'!C40+'视频号+官网+小程序'!C40+'唯品会'!C40</f>
      </c>
      <c r="D40" s="99">
        <f>PDD!D40+'得物'!D40+'视频号+官网+小程序'!D40+'唯品会'!D40</f>
      </c>
      <c r="E40" s="99">
        <f>PDD!E40+'得物'!E40+'视频号+官网+小程序'!E40+'唯品会'!E40</f>
      </c>
      <c r="F40" s="99">
        <f>PDD!F40+'得物'!F40+'视频号+官网+小程序'!F40+'唯品会'!F40</f>
      </c>
      <c r="G40" s="99">
        <f>PDD!G40+'得物'!G40+'视频号+官网+小程序'!G40+'唯品会'!G40</f>
      </c>
      <c r="H40" s="99">
        <f>PDD!H40+'得物'!H40+'视频号+官网+小程序'!H40+'唯品会'!H40</f>
      </c>
      <c r="I40" s="99">
        <f>PDD!I40+'得物'!I40+'视频号+官网+小程序'!I40+'唯品会'!I40</f>
      </c>
      <c r="J40" s="99">
        <f>PDD!J40+'得物'!J40+'视频号+官网+小程序'!J40+'唯品会'!J40</f>
      </c>
      <c r="K40" s="99">
        <f>PDD!K40+'得物'!K40+'视频号+官网+小程序'!K40+'唯品会'!K40</f>
      </c>
      <c r="L40" s="99">
        <f>PDD!L40+'得物'!L40+'视频号+官网+小程序'!L40+'唯品会'!L40</f>
      </c>
      <c r="M40" s="99">
        <f>PDD!M40+'得物'!M40+'视频号+官网+小程序'!M40+'唯品会'!M40</f>
      </c>
      <c r="N40" s="99">
        <f>PDD!N40+'得物'!N40+'视频号+官网+小程序'!N40+'唯品会'!N40</f>
      </c>
      <c r="O40" s="88">
        <f>SUM(C40:N40)</f>
      </c>
      <c r="P40" s="91">
        <f>O40/$O$16</f>
      </c>
      <c r="Q40" s="1" t="str">
        <v>投放填写</v>
      </c>
    </row>
    <row outlineLevel="1" r="41">
      <c r="A41" s="88"/>
      <c r="B41" s="90" t="str">
        <v>站内投放（费率）</v>
      </c>
      <c r="C41" s="105">
        <f>PDD!C41+'得物'!C41+'视频号+官网+小程序'!C41+'唯品会'!C41</f>
      </c>
      <c r="D41" s="105">
        <f>PDD!D41+'得物'!D41+'视频号+官网+小程序'!D41+'唯品会'!D41</f>
      </c>
      <c r="E41" s="105">
        <f>PDD!E41+'得物'!E41+'视频号+官网+小程序'!E41+'唯品会'!E41</f>
      </c>
      <c r="F41" s="105">
        <f>PDD!F41+'得物'!F41+'视频号+官网+小程序'!F41+'唯品会'!F41</f>
      </c>
      <c r="G41" s="105">
        <f>PDD!G41+'得物'!G41+'视频号+官网+小程序'!G41+'唯品会'!G41</f>
      </c>
      <c r="H41" s="105">
        <f>PDD!H41+'得物'!H41+'视频号+官网+小程序'!H41+'唯品会'!H41</f>
      </c>
      <c r="I41" s="105">
        <f>PDD!I41+'得物'!I41+'视频号+官网+小程序'!I41+'唯品会'!I41</f>
      </c>
      <c r="J41" s="105">
        <f>PDD!J41+'得物'!J41+'视频号+官网+小程序'!J41+'唯品会'!J41</f>
      </c>
      <c r="K41" s="105">
        <f>PDD!K41+'得物'!K41+'视频号+官网+小程序'!K41+'唯品会'!K41</f>
      </c>
      <c r="L41" s="105">
        <f>PDD!L41+'得物'!L41+'视频号+官网+小程序'!L41+'唯品会'!L41</f>
      </c>
      <c r="M41" s="105">
        <f>PDD!M41+'得物'!M41+'视频号+官网+小程序'!M41+'唯品会'!M41</f>
      </c>
      <c r="N41" s="105">
        <f>PDD!N41+'得物'!N41+'视频号+官网+小程序'!N41+'唯品会'!N41</f>
      </c>
      <c r="O41" s="91">
        <f>O38/$O$16</f>
      </c>
      <c r="Q41" s="1" t="str">
        <v>投放填写</v>
      </c>
    </row>
    <row outlineLevel="1" r="42">
      <c r="A42" s="88"/>
      <c r="B42" s="90" t="str">
        <v>千川投放（费率）</v>
      </c>
      <c r="C42" s="105">
        <f>PDD!C42+'得物'!C42+'视频号+官网+小程序'!C42+'唯品会'!C42</f>
      </c>
      <c r="D42" s="105">
        <f>PDD!D42+'得物'!D42+'视频号+官网+小程序'!D42+'唯品会'!D42</f>
      </c>
      <c r="E42" s="105">
        <f>PDD!E42+'得物'!E42+'视频号+官网+小程序'!E42+'唯品会'!E42</f>
      </c>
      <c r="F42" s="105">
        <f>PDD!F42+'得物'!F42+'视频号+官网+小程序'!F42+'唯品会'!F42</f>
      </c>
      <c r="G42" s="105">
        <f>PDD!G42+'得物'!G42+'视频号+官网+小程序'!G42+'唯品会'!G42</f>
      </c>
      <c r="H42" s="105">
        <f>PDD!H42+'得物'!H42+'视频号+官网+小程序'!H42+'唯品会'!H42</f>
      </c>
      <c r="I42" s="105">
        <f>PDD!I42+'得物'!I42+'视频号+官网+小程序'!I42+'唯品会'!I42</f>
      </c>
      <c r="J42" s="105">
        <f>PDD!J42+'得物'!J42+'视频号+官网+小程序'!J42+'唯品会'!J42</f>
      </c>
      <c r="K42" s="105">
        <f>PDD!K42+'得物'!K42+'视频号+官网+小程序'!K42+'唯品会'!K42</f>
      </c>
      <c r="L42" s="105">
        <f>PDD!L42+'得物'!L42+'视频号+官网+小程序'!L42+'唯品会'!L42</f>
      </c>
      <c r="M42" s="105">
        <f>PDD!M42+'得物'!M42+'视频号+官网+小程序'!M42+'唯品会'!M42</f>
      </c>
      <c r="N42" s="105">
        <f>PDD!N42+'得物'!N42+'视频号+官网+小程序'!N42+'唯品会'!N42</f>
      </c>
      <c r="O42" s="91">
        <f>O39/$O$16</f>
      </c>
      <c r="Q42" s="1" t="str">
        <v>投放填写</v>
      </c>
    </row>
    <row outlineLevel="1" r="43">
      <c r="A43" s="88"/>
      <c r="B43" s="90" t="str">
        <v>站外投放（费率）</v>
      </c>
      <c r="C43" s="105">
        <f>PDD!C43+'得物'!C43+'视频号+官网+小程序'!C43+'唯品会'!C43</f>
      </c>
      <c r="D43" s="105">
        <f>PDD!D43+'得物'!D43+'视频号+官网+小程序'!D43+'唯品会'!D43</f>
      </c>
      <c r="E43" s="105">
        <f>PDD!E43+'得物'!E43+'视频号+官网+小程序'!E43+'唯品会'!E43</f>
      </c>
      <c r="F43" s="105">
        <f>PDD!F43+'得物'!F43+'视频号+官网+小程序'!F43+'唯品会'!F43</f>
      </c>
      <c r="G43" s="105">
        <f>PDD!G43+'得物'!G43+'视频号+官网+小程序'!G43+'唯品会'!G43</f>
      </c>
      <c r="H43" s="105">
        <f>PDD!H43+'得物'!H43+'视频号+官网+小程序'!H43+'唯品会'!H43</f>
      </c>
      <c r="I43" s="105">
        <f>PDD!I43+'得物'!I43+'视频号+官网+小程序'!I43+'唯品会'!I43</f>
      </c>
      <c r="J43" s="105">
        <f>PDD!J43+'得物'!J43+'视频号+官网+小程序'!J43+'唯品会'!J43</f>
      </c>
      <c r="K43" s="105">
        <f>PDD!K43+'得物'!K43+'视频号+官网+小程序'!K43+'唯品会'!K43</f>
      </c>
      <c r="L43" s="105">
        <f>PDD!L43+'得物'!L43+'视频号+官网+小程序'!L43+'唯品会'!L43</f>
      </c>
      <c r="M43" s="105">
        <f>PDD!M43+'得物'!M43+'视频号+官网+小程序'!M43+'唯品会'!M43</f>
      </c>
      <c r="N43" s="105">
        <f>PDD!N43+'得物'!N43+'视频号+官网+小程序'!N43+'唯品会'!N43</f>
      </c>
      <c r="O43" s="91">
        <f>O40/$O$16</f>
      </c>
      <c r="Q43" s="1" t="str">
        <v>投放填写</v>
      </c>
    </row>
    <row r="44">
      <c r="B44" s="85" t="str">
        <v>线上营销费用</v>
      </c>
      <c r="C44" s="84">
        <f>PDD!C44+'得物'!C44+'视频号+官网+小程序'!C44+'唯品会'!C44</f>
      </c>
      <c r="D44" s="84">
        <f>PDD!D44+'得物'!D44+'视频号+官网+小程序'!D44+'唯品会'!D44</f>
      </c>
      <c r="E44" s="84">
        <f>PDD!E44+'得物'!E44+'视频号+官网+小程序'!E44+'唯品会'!E44</f>
      </c>
      <c r="F44" s="84">
        <f>PDD!F44+'得物'!F44+'视频号+官网+小程序'!F44+'唯品会'!F44</f>
      </c>
      <c r="G44" s="84">
        <f>PDD!G44+'得物'!G44+'视频号+官网+小程序'!G44+'唯品会'!G44</f>
      </c>
      <c r="H44" s="84">
        <f>PDD!H44+'得物'!H44+'视频号+官网+小程序'!H44+'唯品会'!H44</f>
      </c>
      <c r="I44" s="84">
        <f>PDD!I44+'得物'!I44+'视频号+官网+小程序'!I44+'唯品会'!I44</f>
      </c>
      <c r="J44" s="84">
        <f>PDD!J44+'得物'!J44+'视频号+官网+小程序'!J44+'唯品会'!J44</f>
      </c>
      <c r="K44" s="84">
        <f>PDD!K44+'得物'!K44+'视频号+官网+小程序'!K44+'唯品会'!K44</f>
      </c>
      <c r="L44" s="84">
        <f>PDD!L44+'得物'!L44+'视频号+官网+小程序'!L44+'唯品会'!L44</f>
      </c>
      <c r="M44" s="84">
        <f>PDD!M44+'得物'!M44+'视频号+官网+小程序'!M44+'唯品会'!M44</f>
      </c>
      <c r="N44" s="84">
        <f>PDD!N44+'得物'!N44+'视频号+官网+小程序'!N44+'唯品会'!N44</f>
      </c>
      <c r="O44" s="84">
        <f>SUM(C44:N44)</f>
      </c>
      <c r="P44" s="86">
        <f>O44/$O$16</f>
      </c>
      <c r="Q44" s="1"/>
    </row>
    <row r="45">
      <c r="A45" s="88"/>
      <c r="B45" s="90" t="str">
        <v>直播费用</v>
      </c>
      <c r="C45" s="89">
        <f>PDD!C45+'得物'!C45+'视频号+官网+小程序'!C45+'唯品会'!C45</f>
      </c>
      <c r="D45" s="89">
        <f>PDD!D45+'得物'!D45+'视频号+官网+小程序'!D45+'唯品会'!D45</f>
      </c>
      <c r="E45" s="89">
        <f>PDD!E45+'得物'!E45+'视频号+官网+小程序'!E45+'唯品会'!E45</f>
      </c>
      <c r="F45" s="89">
        <f>PDD!F45+'得物'!F45+'视频号+官网+小程序'!F45+'唯品会'!F45</f>
      </c>
      <c r="G45" s="89">
        <f>PDD!G45+'得物'!G45+'视频号+官网+小程序'!G45+'唯品会'!G45</f>
      </c>
      <c r="H45" s="89">
        <f>PDD!H45+'得物'!H45+'视频号+官网+小程序'!H45+'唯品会'!H45</f>
      </c>
      <c r="I45" s="89">
        <f>PDD!I45+'得物'!I45+'视频号+官网+小程序'!I45+'唯品会'!I45</f>
      </c>
      <c r="J45" s="89">
        <f>PDD!J45+'得物'!J45+'视频号+官网+小程序'!J45+'唯品会'!J45</f>
      </c>
      <c r="K45" s="89">
        <f>PDD!K45+'得物'!K45+'视频号+官网+小程序'!K45+'唯品会'!K45</f>
      </c>
      <c r="L45" s="89">
        <f>PDD!L45+'得物'!L45+'视频号+官网+小程序'!L45+'唯品会'!L45</f>
      </c>
      <c r="M45" s="89">
        <f>PDD!M45+'得物'!M45+'视频号+官网+小程序'!M45+'唯品会'!M45</f>
      </c>
      <c r="N45" s="89">
        <f>PDD!N45+'得物'!N45+'视频号+官网+小程序'!N45+'唯品会'!N45</f>
      </c>
      <c r="O45" s="88">
        <f>SUM(C45:N45)</f>
      </c>
      <c r="P45" s="91"/>
      <c r="Q45" s="1" t="str">
        <v>达人填写</v>
      </c>
    </row>
    <row r="46">
      <c r="A46" s="88"/>
      <c r="B46" s="90" t="str">
        <v>赠品费用</v>
      </c>
      <c r="C46" s="89">
        <f>PDD!C46+'得物'!C46+'视频号+官网+小程序'!C46+'唯品会'!C46</f>
      </c>
      <c r="D46" s="89">
        <f>PDD!D46+'得物'!D46+'视频号+官网+小程序'!D46+'唯品会'!D46</f>
      </c>
      <c r="E46" s="89">
        <f>PDD!E46+'得物'!E46+'视频号+官网+小程序'!E46+'唯品会'!E46</f>
      </c>
      <c r="F46" s="89">
        <f>PDD!F46+'得物'!F46+'视频号+官网+小程序'!F46+'唯品会'!F46</f>
      </c>
      <c r="G46" s="89">
        <f>PDD!G46+'得物'!G46+'视频号+官网+小程序'!G46+'唯品会'!G46</f>
      </c>
      <c r="H46" s="89">
        <f>PDD!H46+'得物'!H46+'视频号+官网+小程序'!H46+'唯品会'!H46</f>
      </c>
      <c r="I46" s="89">
        <f>PDD!I46+'得物'!I46+'视频号+官网+小程序'!I46+'唯品会'!I46</f>
      </c>
      <c r="J46" s="89">
        <f>PDD!J46+'得物'!J46+'视频号+官网+小程序'!J46+'唯品会'!J46</f>
      </c>
      <c r="K46" s="89">
        <f>PDD!K46+'得物'!K46+'视频号+官网+小程序'!K46+'唯品会'!K46</f>
      </c>
      <c r="L46" s="89">
        <f>PDD!L46+'得物'!L46+'视频号+官网+小程序'!L46+'唯品会'!L46</f>
      </c>
      <c r="M46" s="89">
        <f>PDD!M46+'得物'!M46+'视频号+官网+小程序'!M46+'唯品会'!M46</f>
      </c>
      <c r="N46" s="89">
        <f>PDD!N46+'得物'!N46+'视频号+官网+小程序'!N46+'唯品会'!N46</f>
      </c>
      <c r="O46" s="88">
        <f>SUM(C46:N46)</f>
      </c>
      <c r="P46" s="86"/>
      <c r="Q46" s="90" t="str">
        <v>渠道填写</v>
      </c>
    </row>
    <row r="47">
      <c r="B47" s="85" t="str">
        <v>线下市场费用</v>
      </c>
      <c r="C47" s="84">
        <f>PDD!C47+'得物'!C47+'视频号+官网+小程序'!C47+'唯品会'!C47</f>
      </c>
      <c r="D47" s="84">
        <f>PDD!D47+'得物'!D47+'视频号+官网+小程序'!D47+'唯品会'!D47</f>
      </c>
      <c r="E47" s="84">
        <f>PDD!E47+'得物'!E47+'视频号+官网+小程序'!E47+'唯品会'!E47</f>
      </c>
      <c r="F47" s="84">
        <f>PDD!F47+'得物'!F47+'视频号+官网+小程序'!F47+'唯品会'!F47</f>
      </c>
      <c r="G47" s="84">
        <f>PDD!G47+'得物'!G47+'视频号+官网+小程序'!G47+'唯品会'!G47</f>
      </c>
      <c r="H47" s="84">
        <f>PDD!H47+'得物'!H47+'视频号+官网+小程序'!H47+'唯品会'!H47</f>
      </c>
      <c r="I47" s="84">
        <f>PDD!I47+'得物'!I47+'视频号+官网+小程序'!I47+'唯品会'!I47</f>
      </c>
      <c r="J47" s="84">
        <f>PDD!J47+'得物'!J47+'视频号+官网+小程序'!J47+'唯品会'!J47</f>
      </c>
      <c r="K47" s="84">
        <f>PDD!K47+'得物'!K47+'视频号+官网+小程序'!K47+'唯品会'!K47</f>
      </c>
      <c r="L47" s="84">
        <f>PDD!L47+'得物'!L47+'视频号+官网+小程序'!L47+'唯品会'!L47</f>
      </c>
      <c r="M47" s="84">
        <f>PDD!M47+'得物'!M47+'视频号+官网+小程序'!M47+'唯品会'!M47</f>
      </c>
      <c r="N47" s="84">
        <f>PDD!N47+'得物'!N47+'视频号+官网+小程序'!N47+'唯品会'!N47</f>
      </c>
      <c r="O47" s="84">
        <f>SUM(C47:N47)</f>
      </c>
      <c r="P47" s="86">
        <f>O47/$O$16</f>
      </c>
      <c r="Q47" s="1"/>
    </row>
    <row r="48">
      <c r="A48" s="88"/>
      <c r="B48" s="90" t="str">
        <v>线下渠道展陈、促销费用</v>
      </c>
      <c r="C48" s="89">
        <f>PDD!C48+'得物'!C48+'视频号+官网+小程序'!C48+'唯品会'!C48</f>
      </c>
      <c r="D48" s="89">
        <f>PDD!D48+'得物'!D48+'视频号+官网+小程序'!D48+'唯品会'!D48</f>
      </c>
      <c r="E48" s="89">
        <f>PDD!E48+'得物'!E48+'视频号+官网+小程序'!E48+'唯品会'!E48</f>
      </c>
      <c r="F48" s="89">
        <f>PDD!F48+'得物'!F48+'视频号+官网+小程序'!F48+'唯品会'!F48</f>
      </c>
      <c r="G48" s="89">
        <f>PDD!G48+'得物'!G48+'视频号+官网+小程序'!G48+'唯品会'!G48</f>
      </c>
      <c r="H48" s="89">
        <f>PDD!H48+'得物'!H48+'视频号+官网+小程序'!H48+'唯品会'!H48</f>
      </c>
      <c r="I48" s="89">
        <f>PDD!I48+'得物'!I48+'视频号+官网+小程序'!I48+'唯品会'!I48</f>
      </c>
      <c r="J48" s="89">
        <f>PDD!J48+'得物'!J48+'视频号+官网+小程序'!J48+'唯品会'!J48</f>
      </c>
      <c r="K48" s="89">
        <f>PDD!K48+'得物'!K48+'视频号+官网+小程序'!K48+'唯品会'!K48</f>
      </c>
      <c r="L48" s="89">
        <f>PDD!L48+'得物'!L48+'视频号+官网+小程序'!L48+'唯品会'!L48</f>
      </c>
      <c r="M48" s="89">
        <f>PDD!M48+'得物'!M48+'视频号+官网+小程序'!M48+'唯品会'!M48</f>
      </c>
      <c r="N48" s="89">
        <f>PDD!N48+'得物'!N48+'视频号+官网+小程序'!N48+'唯品会'!N48</f>
      </c>
      <c r="O48" s="88">
        <f>SUM(C48:N48)</f>
      </c>
      <c r="P48" s="91">
        <f>O48/$O$16</f>
      </c>
      <c r="Q48" s="90" t="str">
        <v>线下门店</v>
      </c>
    </row>
    <row r="49">
      <c r="A49" s="88"/>
      <c r="B49" s="90" t="str">
        <v>租金+物业+水电</v>
      </c>
      <c r="C49" s="89">
        <f>PDD!C49+'得物'!C49+'视频号+官网+小程序'!C49+'唯品会'!C49</f>
      </c>
      <c r="D49" s="89">
        <f>PDD!D49+'得物'!D49+'视频号+官网+小程序'!D49+'唯品会'!D49</f>
      </c>
      <c r="E49" s="89">
        <f>PDD!E49+'得物'!E49+'视频号+官网+小程序'!E49+'唯品会'!E49</f>
      </c>
      <c r="F49" s="89">
        <f>PDD!F49+'得物'!F49+'视频号+官网+小程序'!F49+'唯品会'!F49</f>
      </c>
      <c r="G49" s="89">
        <f>PDD!G49+'得物'!G49+'视频号+官网+小程序'!G49+'唯品会'!G49</f>
      </c>
      <c r="H49" s="89">
        <f>PDD!H49+'得物'!H49+'视频号+官网+小程序'!H49+'唯品会'!H49</f>
      </c>
      <c r="I49" s="89">
        <f>PDD!I49+'得物'!I49+'视频号+官网+小程序'!I49+'唯品会'!I49</f>
      </c>
      <c r="J49" s="89">
        <f>PDD!J49+'得物'!J49+'视频号+官网+小程序'!J49+'唯品会'!J49</f>
      </c>
      <c r="K49" s="89">
        <f>PDD!K49+'得物'!K49+'视频号+官网+小程序'!K49+'唯品会'!K49</f>
      </c>
      <c r="L49" s="89">
        <f>PDD!L49+'得物'!L49+'视频号+官网+小程序'!L49+'唯品会'!L49</f>
      </c>
      <c r="M49" s="89">
        <f>PDD!M49+'得物'!M49+'视频号+官网+小程序'!M49+'唯品会'!M49</f>
      </c>
      <c r="N49" s="89">
        <f>PDD!N49+'得物'!N49+'视频号+官网+小程序'!N49+'唯品会'!N49</f>
      </c>
      <c r="O49" s="88">
        <f>SUM(C49:N49)</f>
      </c>
      <c r="P49" s="91">
        <f>O49/$O$16</f>
      </c>
      <c r="Q49" s="90" t="str">
        <v>线下门店</v>
      </c>
    </row>
    <row r="50">
      <c r="A50" s="88"/>
      <c r="B50" s="90" t="str">
        <v>门店人工</v>
      </c>
      <c r="C50" s="89">
        <f>PDD!C50+'得物'!C50+'视频号+官网+小程序'!C50+'唯品会'!C50</f>
      </c>
      <c r="D50" s="89">
        <f>PDD!D50+'得物'!D50+'视频号+官网+小程序'!D50+'唯品会'!D50</f>
      </c>
      <c r="E50" s="89">
        <f>PDD!E50+'得物'!E50+'视频号+官网+小程序'!E50+'唯品会'!E50</f>
      </c>
      <c r="F50" s="89">
        <f>PDD!F50+'得物'!F50+'视频号+官网+小程序'!F50+'唯品会'!F50</f>
      </c>
      <c r="G50" s="89">
        <f>PDD!G50+'得物'!G50+'视频号+官网+小程序'!G50+'唯品会'!G50</f>
      </c>
      <c r="H50" s="89">
        <f>PDD!H50+'得物'!H50+'视频号+官网+小程序'!H50+'唯品会'!H50</f>
      </c>
      <c r="I50" s="89">
        <f>PDD!I50+'得物'!I50+'视频号+官网+小程序'!I50+'唯品会'!I50</f>
      </c>
      <c r="J50" s="89">
        <f>PDD!J50+'得物'!J50+'视频号+官网+小程序'!J50+'唯品会'!J50</f>
      </c>
      <c r="K50" s="89">
        <f>PDD!K50+'得物'!K50+'视频号+官网+小程序'!K50+'唯品会'!K50</f>
      </c>
      <c r="L50" s="89">
        <f>PDD!L50+'得物'!L50+'视频号+官网+小程序'!L50+'唯品会'!L50</f>
      </c>
      <c r="M50" s="89">
        <f>PDD!M50+'得物'!M50+'视频号+官网+小程序'!M50+'唯品会'!M50</f>
      </c>
      <c r="N50" s="89">
        <f>PDD!N50+'得物'!N50+'视频号+官网+小程序'!N50+'唯品会'!N50</f>
      </c>
      <c r="O50" s="88">
        <f>SUM(C50:N50)</f>
      </c>
      <c r="P50" s="91">
        <f>O50/$O$16</f>
      </c>
      <c r="Q50" s="90" t="str">
        <v>线下门店</v>
      </c>
    </row>
    <row r="51">
      <c r="B51" s="90" t="str">
        <v>门店展陈装修等其他</v>
      </c>
      <c r="C51" s="89">
        <f>PDD!C51+'得物'!C51+'视频号+官网+小程序'!C51+'唯品会'!C51</f>
      </c>
      <c r="D51" s="89">
        <f>PDD!D51+'得物'!D51+'视频号+官网+小程序'!D51+'唯品会'!D51</f>
      </c>
      <c r="E51" s="89">
        <f>PDD!E51+'得物'!E51+'视频号+官网+小程序'!E51+'唯品会'!E51</f>
      </c>
      <c r="F51" s="89">
        <f>PDD!F51+'得物'!F51+'视频号+官网+小程序'!F51+'唯品会'!F51</f>
      </c>
      <c r="G51" s="89">
        <f>PDD!G51+'得物'!G51+'视频号+官网+小程序'!G51+'唯品会'!G51</f>
      </c>
      <c r="H51" s="89">
        <f>PDD!H51+'得物'!H51+'视频号+官网+小程序'!H51+'唯品会'!H51</f>
      </c>
      <c r="I51" s="89">
        <f>PDD!I51+'得物'!I51+'视频号+官网+小程序'!I51+'唯品会'!I51</f>
      </c>
      <c r="J51" s="89">
        <f>PDD!J51+'得物'!J51+'视频号+官网+小程序'!J51+'唯品会'!J51</f>
      </c>
      <c r="K51" s="89">
        <f>PDD!K51+'得物'!K51+'视频号+官网+小程序'!K51+'唯品会'!K51</f>
      </c>
      <c r="L51" s="89">
        <f>PDD!L51+'得物'!L51+'视频号+官网+小程序'!L51+'唯品会'!L51</f>
      </c>
      <c r="M51" s="89">
        <f>PDD!M51+'得物'!M51+'视频号+官网+小程序'!M51+'唯品会'!M51</f>
      </c>
      <c r="N51" s="89">
        <f>PDD!N51+'得物'!N51+'视频号+官网+小程序'!N51+'唯品会'!N51</f>
      </c>
      <c r="O51" s="88">
        <f>SUM(C51:N51)</f>
      </c>
      <c r="P51" s="91">
        <f>O51/$O$16</f>
      </c>
      <c r="Q51" s="90" t="str">
        <v>线下门店</v>
      </c>
    </row>
    <row r="52">
      <c r="B52" s="83" t="str">
        <v>市场投入费用</v>
      </c>
      <c r="C52" s="81">
        <f>PDD!C52+'得物'!C52+'视频号+官网+小程序'!C52+'唯品会'!C52</f>
      </c>
      <c r="D52" s="81">
        <f>PDD!D52+'得物'!D52+'视频号+官网+小程序'!D52+'唯品会'!D52</f>
      </c>
      <c r="E52" s="81">
        <f>PDD!E52+'得物'!E52+'视频号+官网+小程序'!E52+'唯品会'!E52</f>
      </c>
      <c r="F52" s="81">
        <f>PDD!F52+'得物'!F52+'视频号+官网+小程序'!F52+'唯品会'!F52</f>
      </c>
      <c r="G52" s="81">
        <f>PDD!G52+'得物'!G52+'视频号+官网+小程序'!G52+'唯品会'!G52</f>
      </c>
      <c r="H52" s="81">
        <f>PDD!H52+'得物'!H52+'视频号+官网+小程序'!H52+'唯品会'!H52</f>
      </c>
      <c r="I52" s="81">
        <f>PDD!I52+'得物'!I52+'视频号+官网+小程序'!I52+'唯品会'!I52</f>
      </c>
      <c r="J52" s="81">
        <f>PDD!J52+'得物'!J52+'视频号+官网+小程序'!J52+'唯品会'!J52</f>
      </c>
      <c r="K52" s="81">
        <f>PDD!K52+'得物'!K52+'视频号+官网+小程序'!K52+'唯品会'!K52</f>
      </c>
      <c r="L52" s="81">
        <f>PDD!L52+'得物'!L52+'视频号+官网+小程序'!L52+'唯品会'!L52</f>
      </c>
      <c r="M52" s="81">
        <f>PDD!M52+'得物'!M52+'视频号+官网+小程序'!M52+'唯品会'!M52</f>
      </c>
      <c r="N52" s="81">
        <f>PDD!N52+'得物'!N52+'视频号+官网+小程序'!N52+'唯品会'!N52</f>
      </c>
      <c r="O52" s="81">
        <f>SUM(C52:N52)</f>
      </c>
      <c r="P52" s="82">
        <f>O52/$O$16</f>
      </c>
      <c r="Q52" s="1"/>
    </row>
    <row r="53">
      <c r="A53" s="88"/>
      <c r="B53" s="90" t="str">
        <v>平台佣金</v>
      </c>
      <c r="C53" s="89">
        <f>PDD!C53+'得物'!C53+'视频号+官网+小程序'!C53+'唯品会'!C53</f>
      </c>
      <c r="D53" s="89">
        <f>PDD!D53+'得物'!D53+'视频号+官网+小程序'!D53+'唯品会'!D53</f>
      </c>
      <c r="E53" s="89">
        <f>PDD!E53+'得物'!E53+'视频号+官网+小程序'!E53+'唯品会'!E53</f>
      </c>
      <c r="F53" s="89">
        <f>PDD!F53+'得物'!F53+'视频号+官网+小程序'!F53+'唯品会'!F53</f>
      </c>
      <c r="G53" s="89">
        <f>PDD!G53+'得物'!G53+'视频号+官网+小程序'!G53+'唯品会'!G53</f>
      </c>
      <c r="H53" s="89">
        <f>PDD!H53+'得物'!H53+'视频号+官网+小程序'!H53+'唯品会'!H53</f>
      </c>
      <c r="I53" s="89">
        <f>PDD!I53+'得物'!I53+'视频号+官网+小程序'!I53+'唯品会'!I53</f>
      </c>
      <c r="J53" s="89">
        <f>PDD!J53+'得物'!J53+'视频号+官网+小程序'!J53+'唯品会'!J53</f>
      </c>
      <c r="K53" s="89">
        <f>PDD!K53+'得物'!K53+'视频号+官网+小程序'!K53+'唯品会'!K53</f>
      </c>
      <c r="L53" s="89">
        <f>PDD!L53+'得物'!L53+'视频号+官网+小程序'!L53+'唯品会'!L53</f>
      </c>
      <c r="M53" s="89">
        <f>PDD!M53+'得物'!M53+'视频号+官网+小程序'!M53+'唯品会'!M53</f>
      </c>
      <c r="N53" s="89">
        <f>PDD!N53+'得物'!N53+'视频号+官网+小程序'!N53+'唯品会'!N53</f>
      </c>
      <c r="O53" s="88">
        <f>SUM(C53:N53)</f>
      </c>
      <c r="P53" s="91">
        <f>O53/$O$16</f>
      </c>
      <c r="Q53" s="1"/>
    </row>
    <row r="54">
      <c r="A54" s="88"/>
      <c r="B54" s="90" t="str">
        <v>平台其他费用</v>
      </c>
      <c r="C54" s="89">
        <f>PDD!C54+'得物'!C54+'视频号+官网+小程序'!C54+'唯品会'!C54</f>
      </c>
      <c r="D54" s="89">
        <f>PDD!D54+'得物'!D54+'视频号+官网+小程序'!D54+'唯品会'!D54</f>
      </c>
      <c r="E54" s="89">
        <f>PDD!E54+'得物'!E54+'视频号+官网+小程序'!E54+'唯品会'!E54</f>
      </c>
      <c r="F54" s="89">
        <f>PDD!F54+'得物'!F54+'视频号+官网+小程序'!F54+'唯品会'!F54</f>
      </c>
      <c r="G54" s="89">
        <f>PDD!G54+'得物'!G54+'视频号+官网+小程序'!G54+'唯品会'!G54</f>
      </c>
      <c r="H54" s="89">
        <f>PDD!H54+'得物'!H54+'视频号+官网+小程序'!H54+'唯品会'!H54</f>
      </c>
      <c r="I54" s="89">
        <f>PDD!I54+'得物'!I54+'视频号+官网+小程序'!I54+'唯品会'!I54</f>
      </c>
      <c r="J54" s="89">
        <f>PDD!J54+'得物'!J54+'视频号+官网+小程序'!J54+'唯品会'!J54</f>
      </c>
      <c r="K54" s="89">
        <f>PDD!K54+'得物'!K54+'视频号+官网+小程序'!K54+'唯品会'!K54</f>
      </c>
      <c r="L54" s="89">
        <f>PDD!L54+'得物'!L54+'视频号+官网+小程序'!L54+'唯品会'!L54</f>
      </c>
      <c r="M54" s="89">
        <f>PDD!M54+'得物'!M54+'视频号+官网+小程序'!M54+'唯品会'!M54</f>
      </c>
      <c r="N54" s="89">
        <f>PDD!N54+'得物'!N54+'视频号+官网+小程序'!N54+'唯品会'!N54</f>
      </c>
      <c r="O54" s="88">
        <f>SUM(C54:N54)</f>
      </c>
      <c r="P54" s="91">
        <v>0.014</v>
      </c>
      <c r="Q54" s="1"/>
    </row>
    <row r="55">
      <c r="A55" s="88"/>
      <c r="B55" s="90" t="str">
        <v>售后费用</v>
      </c>
      <c r="C55" s="89">
        <f>PDD!C55+'得物'!C55+'视频号+官网+小程序'!C55+'唯品会'!C55</f>
      </c>
      <c r="D55" s="89">
        <f>PDD!D55+'得物'!D55+'视频号+官网+小程序'!D55+'唯品会'!D55</f>
      </c>
      <c r="E55" s="89">
        <f>PDD!E55+'得物'!E55+'视频号+官网+小程序'!E55+'唯品会'!E55</f>
      </c>
      <c r="F55" s="89">
        <f>PDD!F55+'得物'!F55+'视频号+官网+小程序'!F55+'唯品会'!F55</f>
      </c>
      <c r="G55" s="89">
        <f>PDD!G55+'得物'!G55+'视频号+官网+小程序'!G55+'唯品会'!G55</f>
      </c>
      <c r="H55" s="89">
        <f>PDD!H55+'得物'!H55+'视频号+官网+小程序'!H55+'唯品会'!H55</f>
      </c>
      <c r="I55" s="89">
        <f>PDD!I55+'得物'!I55+'视频号+官网+小程序'!I55+'唯品会'!I55</f>
      </c>
      <c r="J55" s="89">
        <f>PDD!J55+'得物'!J55+'视频号+官网+小程序'!J55+'唯品会'!J55</f>
      </c>
      <c r="K55" s="89">
        <f>PDD!K55+'得物'!K55+'视频号+官网+小程序'!K55+'唯品会'!K55</f>
      </c>
      <c r="L55" s="89">
        <f>PDD!L55+'得物'!L55+'视频号+官网+小程序'!L55+'唯品会'!L55</f>
      </c>
      <c r="M55" s="89">
        <f>PDD!M55+'得物'!M55+'视频号+官网+小程序'!M55+'唯品会'!M55</f>
      </c>
      <c r="N55" s="89">
        <f>PDD!N55+'得物'!N55+'视频号+官网+小程序'!N55+'唯品会'!N55</f>
      </c>
      <c r="O55" s="88"/>
      <c r="P55" s="91">
        <v>0.03</v>
      </c>
      <c r="Q55" s="1"/>
    </row>
    <row r="56">
      <c r="A56" s="88"/>
      <c r="B56" s="90" t="str">
        <v>短信及店铺软件</v>
      </c>
      <c r="C56" s="89">
        <f>PDD!C56+'得物'!C56+'视频号+官网+小程序'!C56+'唯品会'!C56</f>
      </c>
      <c r="D56" s="89">
        <f>PDD!D56+'得物'!D56+'视频号+官网+小程序'!D56+'唯品会'!D56</f>
      </c>
      <c r="E56" s="89">
        <f>PDD!E56+'得物'!E56+'视频号+官网+小程序'!E56+'唯品会'!E56</f>
      </c>
      <c r="F56" s="89">
        <f>PDD!F56+'得物'!F56+'视频号+官网+小程序'!F56+'唯品会'!F56</f>
      </c>
      <c r="G56" s="89">
        <f>PDD!G56+'得物'!G56+'视频号+官网+小程序'!G56+'唯品会'!G56</f>
      </c>
      <c r="H56" s="89">
        <f>PDD!H56+'得物'!H56+'视频号+官网+小程序'!H56+'唯品会'!H56</f>
      </c>
      <c r="I56" s="89">
        <f>PDD!I56+'得物'!I56+'视频号+官网+小程序'!I56+'唯品会'!I56</f>
      </c>
      <c r="J56" s="89">
        <f>PDD!J56+'得物'!J56+'视频号+官网+小程序'!J56+'唯品会'!J56</f>
      </c>
      <c r="K56" s="89">
        <f>PDD!K56+'得物'!K56+'视频号+官网+小程序'!K56+'唯品会'!K56</f>
      </c>
      <c r="L56" s="89">
        <f>PDD!L56+'得物'!L56+'视频号+官网+小程序'!L56+'唯品会'!L56</f>
      </c>
      <c r="M56" s="89">
        <f>PDD!M56+'得物'!M56+'视频号+官网+小程序'!M56+'唯品会'!M56</f>
      </c>
      <c r="N56" s="89">
        <f>PDD!N56+'得物'!N56+'视频号+官网+小程序'!N56+'唯品会'!N56</f>
      </c>
      <c r="O56" s="88">
        <f>SUM(C56:N56)</f>
      </c>
      <c r="P56" s="91"/>
      <c r="Q56" s="1"/>
    </row>
    <row r="57">
      <c r="A57" s="88"/>
      <c r="B57" s="90" t="str">
        <v>其他运营费用（咨询调研等）</v>
      </c>
      <c r="C57" s="89">
        <f>PDD!C57+'得物'!C57+'视频号+官网+小程序'!C57+'唯品会'!C57</f>
      </c>
      <c r="D57" s="89">
        <f>PDD!N57+'得物'!D57+'视频号+官网+小程序'!D57+'唯品会'!D57</f>
      </c>
      <c r="E57" s="89">
        <f>PDD!E57+'得物'!E57+'视频号+官网+小程序'!E57+'唯品会'!E57</f>
      </c>
      <c r="F57" s="89">
        <f>PDD!F57+'得物'!F57+'视频号+官网+小程序'!F57+'唯品会'!F57</f>
      </c>
      <c r="G57" s="89">
        <f>PDD!G57+'得物'!G57+'视频号+官网+小程序'!G57+'唯品会'!G57</f>
      </c>
      <c r="H57" s="89">
        <f>PDD!H57+'得物'!H57+'视频号+官网+小程序'!H57+'唯品会'!H57</f>
      </c>
      <c r="I57" s="89">
        <f>PDD!I57+'得物'!I57+'视频号+官网+小程序'!I57+'唯品会'!I57</f>
      </c>
      <c r="J57" s="89">
        <f>PDD!J57+'得物'!J57+'视频号+官网+小程序'!J57+'唯品会'!J57</f>
      </c>
      <c r="K57" s="89">
        <f>PDD!K57+'得物'!K57+'视频号+官网+小程序'!K57+'唯品会'!K57</f>
      </c>
      <c r="L57" s="89">
        <f>PDD!L57+'得物'!L57+'视频号+官网+小程序'!L57+'唯品会'!L57</f>
      </c>
      <c r="M57" s="89">
        <f>PDD!M57+'得物'!M57+'视频号+官网+小程序'!M57+'唯品会'!M57</f>
      </c>
      <c r="N57" s="89">
        <f>PDD!N57+'得物'!N57+'视频号+官网+小程序'!N57+'唯品会'!N57</f>
      </c>
      <c r="O57" s="88">
        <f>SUM(C57:N57)</f>
      </c>
      <c r="P57" s="91">
        <f>O57/$O$16</f>
      </c>
      <c r="Q57" s="90"/>
    </row>
    <row r="58">
      <c r="B58" s="83" t="str">
        <v>店铺运营费用</v>
      </c>
      <c r="C58" s="81">
        <f>PDD!C58+'得物'!C58+'视频号+官网+小程序'!C58+'唯品会'!C58</f>
      </c>
      <c r="D58" s="81">
        <f>PDD!D58+'得物'!D58+'视频号+官网+小程序'!D58+'唯品会'!D58</f>
      </c>
      <c r="E58" s="81">
        <f>PDD!E58+'得物'!E58+'视频号+官网+小程序'!E58+'唯品会'!E58</f>
      </c>
      <c r="F58" s="81">
        <f>PDD!F58+'得物'!F58+'视频号+官网+小程序'!F58+'唯品会'!F58</f>
      </c>
      <c r="G58" s="81">
        <f>PDD!G58+'得物'!G58+'视频号+官网+小程序'!G58+'唯品会'!G58</f>
      </c>
      <c r="H58" s="81">
        <f>PDD!H58+'得物'!H58+'视频号+官网+小程序'!H58+'唯品会'!H58</f>
      </c>
      <c r="I58" s="81">
        <f>PDD!I58+'得物'!I58+'视频号+官网+小程序'!I58+'唯品会'!I58</f>
      </c>
      <c r="J58" s="81">
        <f>PDD!J58+'得物'!J58+'视频号+官网+小程序'!J58+'唯品会'!J58</f>
      </c>
      <c r="K58" s="81">
        <f>PDD!K58+'得物'!K58+'视频号+官网+小程序'!K58+'唯品会'!K58</f>
      </c>
      <c r="L58" s="81">
        <f>PDD!L58+'得物'!L58+'视频号+官网+小程序'!L58+'唯品会'!L58</f>
      </c>
      <c r="M58" s="81">
        <f>PDD!M58+'得物'!M58+'视频号+官网+小程序'!M58+'唯品会'!M58</f>
      </c>
      <c r="N58" s="81">
        <f>PDD!N58+'得物'!N58+'视频号+官网+小程序'!N58+'唯品会'!N58</f>
      </c>
      <c r="O58" s="81">
        <f>SUM(C58:N58)</f>
      </c>
      <c r="P58" s="82">
        <f>O58/$O$16</f>
      </c>
      <c r="Q58" s="1"/>
    </row>
    <row r="59">
      <c r="A59" s="97"/>
      <c r="B59" s="98" t="str">
        <v>A&amp;P 合计数</v>
      </c>
      <c r="C59" s="95">
        <f>PDD!C59+'得物'!C59+'视频号+官网+小程序'!C59+'唯品会'!C59</f>
      </c>
      <c r="D59" s="95">
        <f>PDD!D59+'得物'!D59+'视频号+官网+小程序'!D59+'唯品会'!D59</f>
      </c>
      <c r="E59" s="95">
        <f>PDD!E59+'得物'!E59+'视频号+官网+小程序'!E59+'唯品会'!E59</f>
      </c>
      <c r="F59" s="95">
        <f>PDD!F59+'得物'!F59+'视频号+官网+小程序'!F59+'唯品会'!F59</f>
      </c>
      <c r="G59" s="95">
        <f>PDD!G59+'得物'!G59+'视频号+官网+小程序'!G59+'唯品会'!G59</f>
      </c>
      <c r="H59" s="95">
        <f>PDD!H59+'得物'!H59+'视频号+官网+小程序'!H59+'唯品会'!H59</f>
      </c>
      <c r="I59" s="95">
        <f>PDD!I59+'得物'!I59+'视频号+官网+小程序'!I59+'唯品会'!I59</f>
      </c>
      <c r="J59" s="95">
        <f>PDD!J59+'得物'!J59+'视频号+官网+小程序'!J59+'唯品会'!J59</f>
      </c>
      <c r="K59" s="95">
        <f>PDD!K59+'得物'!K59+'视频号+官网+小程序'!K59+'唯品会'!K59</f>
      </c>
      <c r="L59" s="95">
        <f>PDD!L59+'得物'!L59+'视频号+官网+小程序'!L59+'唯品会'!L59</f>
      </c>
      <c r="M59" s="95">
        <f>PDD!M59+'得物'!M59+'视频号+官网+小程序'!M59+'唯品会'!M59</f>
      </c>
      <c r="N59" s="95">
        <f>PDD!N59+'得物'!N59+'视频号+官网+小程序'!N59+'唯品会'!N59</f>
      </c>
      <c r="O59" s="95">
        <f>SUM(C59:N59)</f>
      </c>
      <c r="P59" s="96">
        <f>O59/$O$16</f>
      </c>
      <c r="Q59" s="135"/>
      <c r="R59" s="106"/>
    </row>
    <row r="60">
      <c r="A60" s="97"/>
      <c r="B60" s="98" t="str">
        <v>店铺利润</v>
      </c>
      <c r="C60" s="95">
        <f>PDD!C60+'得物'!C60+'视频号+官网+小程序'!C60+'唯品会'!C60</f>
      </c>
      <c r="D60" s="95">
        <f>PDD!D60+'得物'!D60+'视频号+官网+小程序'!D60+'唯品会'!D60</f>
      </c>
      <c r="E60" s="95">
        <f>PDD!E60+'得物'!E60+'视频号+官网+小程序'!E60+'唯品会'!E60</f>
      </c>
      <c r="F60" s="95">
        <f>PDD!F60+'得物'!F60+'视频号+官网+小程序'!F60+'唯品会'!F60</f>
      </c>
      <c r="G60" s="95">
        <f>PDD!G60+'得物'!G60+'视频号+官网+小程序'!G60+'唯品会'!G60</f>
      </c>
      <c r="H60" s="95">
        <f>PDD!H60+'得物'!H60+'视频号+官网+小程序'!H60+'唯品会'!H60</f>
      </c>
      <c r="I60" s="95">
        <f>PDD!I60+'得物'!I60+'视频号+官网+小程序'!I60+'唯品会'!I60</f>
      </c>
      <c r="J60" s="95">
        <f>PDD!J60+'得物'!J60+'视频号+官网+小程序'!J60+'唯品会'!J60</f>
      </c>
      <c r="K60" s="95">
        <f>PDD!K60+'得物'!K60+'视频号+官网+小程序'!K60+'唯品会'!K60</f>
      </c>
      <c r="L60" s="95">
        <f>PDD!L60+'得物'!L60+'视频号+官网+小程序'!L60+'唯品会'!L60</f>
      </c>
      <c r="M60" s="95">
        <f>PDD!M60+'得物'!M60+'视频号+官网+小程序'!M60+'唯品会'!M60</f>
      </c>
      <c r="N60" s="95">
        <f>PDD!N60+'得物'!N60+'视频号+官网+小程序'!N60+'唯品会'!N60</f>
      </c>
      <c r="O60" s="95">
        <f>SUM(C60:N60)</f>
      </c>
      <c r="P60" s="96">
        <f>O60/$O$16</f>
      </c>
      <c r="Q60" s="135"/>
      <c r="R60" s="107"/>
    </row>
    <row r="61">
      <c r="O61">
        <f>O60-PDD!O60-'得物'!O60-'视频号+官网+小程序'!O60-'唯品会'!O60</f>
      </c>
      <c r="Q61" s="1"/>
    </row>
    <row r="62"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Q62" s="1"/>
    </row>
    <row r="63">
      <c r="Q63" s="1"/>
    </row>
    <row r="64">
      <c r="Q64" s="1"/>
    </row>
    <row r="65">
      <c r="Q65" s="1"/>
    </row>
    <row r="66">
      <c r="Q66" s="1"/>
    </row>
    <row r="67">
      <c r="Q67" s="1"/>
    </row>
    <row r="68">
      <c r="Q68" s="1"/>
    </row>
    <row r="69">
      <c r="Q69" s="1"/>
    </row>
    <row r="70">
      <c r="Q70" s="1"/>
    </row>
    <row r="71">
      <c r="Q71" s="1"/>
    </row>
    <row r="72">
      <c r="Q72" s="1"/>
    </row>
    <row r="73">
      <c r="Q73" s="1"/>
    </row>
    <row r="74">
      <c r="Q74" s="1"/>
    </row>
    <row r="75">
      <c r="Q75" s="1"/>
    </row>
    <row r="76">
      <c r="Q76" s="1"/>
    </row>
    <row r="77">
      <c r="Q77" s="1"/>
    </row>
    <row r="78">
      <c r="Q78" s="1"/>
    </row>
    <row r="79">
      <c r="Q79" s="1"/>
    </row>
    <row r="80">
      <c r="Q80" s="1"/>
    </row>
    <row r="81">
      <c r="Q81" s="1"/>
    </row>
    <row r="82">
      <c r="C82" s="158">
        <f>C16-C18-C20-C26-C37-C44-C47-C58-C60</f>
      </c>
      <c r="D82" s="158">
        <f>D16-D18-D20-D26-D37-D44-D47-D58-D60</f>
      </c>
      <c r="E82" s="158">
        <f>E16-E18-E20-E26-E37-E44-E47-E58-E60</f>
      </c>
      <c r="F82" s="158">
        <f>F16-F18-F20-F26-F37-F44-F47-F58-F60</f>
      </c>
      <c r="G82" s="158">
        <f>G16-G18-G20-G26-G37-G44-G47-G58-G60</f>
      </c>
      <c r="H82" s="158">
        <f>H16-H18-H20-H26-H37-H44-H47-H58-H60</f>
      </c>
      <c r="I82" s="158">
        <f>I16-I18-I20-I26-I37-I44-I47-I58-I60</f>
      </c>
      <c r="J82" s="158">
        <f>J16-J18-J20-J26-J37-J44-J47-J58-J60</f>
      </c>
      <c r="K82" s="158">
        <f>K16-K18-K20-K26-K37-K44-K47-K58-K60</f>
      </c>
      <c r="L82" s="158">
        <f>L16-L18-L20-L26-L37-L44-L47-L58-L60</f>
      </c>
      <c r="M82" s="158">
        <f>M16-M18-M20-M26-M37-M44-M47-M58-M60</f>
      </c>
      <c r="N82" s="158">
        <f>N16-N18-N20-N26-N37-N44-N47-N58-N60</f>
      </c>
      <c r="O82" s="158">
        <f>O16-O18-O20-O26-O37-O44-O47-O58-O60</f>
      </c>
      <c r="Q82" s="1"/>
    </row>
    <row r="83">
      <c r="Q83" s="1"/>
    </row>
    <row r="84">
      <c r="Q84" s="1"/>
    </row>
    <row r="85">
      <c r="Q85" s="1"/>
    </row>
    <row r="86">
      <c r="Q86" s="1"/>
    </row>
    <row r="87">
      <c r="Q87" s="1"/>
    </row>
    <row r="88">
      <c r="Q88" s="1"/>
    </row>
    <row r="89">
      <c r="Q89" s="1"/>
    </row>
    <row r="90">
      <c r="Q90" s="1"/>
    </row>
    <row r="91">
      <c r="Q91" s="1"/>
    </row>
    <row r="92">
      <c r="Q92" s="1"/>
    </row>
    <row r="93">
      <c r="Q93" s="1"/>
    </row>
    <row r="94">
      <c r="Q94" s="1"/>
    </row>
    <row r="95">
      <c r="Q95" s="1"/>
    </row>
    <row r="96">
      <c r="Q96" s="1"/>
    </row>
    <row r="97">
      <c r="Q97" s="1"/>
    </row>
    <row r="98">
      <c r="Q98" s="1"/>
    </row>
    <row r="99">
      <c r="Q99" s="1"/>
    </row>
    <row r="100">
      <c r="Q100" s="1"/>
    </row>
    <row r="101">
      <c r="Q101" s="1"/>
    </row>
    <row r="102">
      <c r="Q102" s="1"/>
    </row>
    <row r="103">
      <c r="Q103" s="1"/>
    </row>
    <row r="104">
      <c r="Q104" s="1"/>
    </row>
    <row r="105">
      <c r="Q105" s="1"/>
    </row>
    <row r="106">
      <c r="Q106" s="1"/>
    </row>
    <row r="107">
      <c r="Q107" s="1"/>
    </row>
    <row r="108">
      <c r="Q108" s="1"/>
    </row>
    <row r="109">
      <c r="Q109" s="1"/>
    </row>
    <row r="110">
      <c r="Q110" s="1"/>
    </row>
    <row r="111">
      <c r="Q111" s="1"/>
    </row>
    <row r="112">
      <c r="Q112" s="1"/>
    </row>
    <row r="113">
      <c r="Q113" s="1"/>
    </row>
    <row r="114">
      <c r="Q114" s="1"/>
    </row>
    <row r="115">
      <c r="Q115" s="1"/>
    </row>
    <row r="116">
      <c r="Q116" s="1"/>
    </row>
    <row r="117">
      <c r="Q117" s="1"/>
    </row>
    <row r="118">
      <c r="Q118" s="1"/>
    </row>
    <row r="119">
      <c r="Q119" s="1"/>
    </row>
    <row r="120">
      <c r="Q120" s="1"/>
    </row>
    <row r="121">
      <c r="Q121" s="1"/>
    </row>
    <row r="122">
      <c r="Q122" s="1"/>
    </row>
    <row r="123">
      <c r="Q123" s="1"/>
    </row>
    <row r="124">
      <c r="Q124" s="1"/>
    </row>
    <row r="125">
      <c r="Q125" s="1"/>
    </row>
    <row r="126">
      <c r="Q126" s="1"/>
    </row>
    <row r="127">
      <c r="Q127" s="1"/>
    </row>
    <row r="128">
      <c r="Q128" s="1"/>
    </row>
    <row r="129">
      <c r="Q129" s="1"/>
    </row>
    <row r="130">
      <c r="Q130" s="1"/>
    </row>
    <row r="131">
      <c r="Q131" s="1"/>
    </row>
    <row r="132">
      <c r="Q132" s="1"/>
    </row>
    <row r="133">
      <c r="Q133" s="1"/>
    </row>
    <row r="134">
      <c r="Q134" s="1"/>
    </row>
    <row r="135">
      <c r="Q135" s="1"/>
    </row>
    <row r="136">
      <c r="Q136" s="1"/>
    </row>
    <row r="137">
      <c r="Q137" s="1"/>
    </row>
    <row r="138">
      <c r="Q138" s="1"/>
    </row>
    <row r="139">
      <c r="Q139" s="1"/>
    </row>
    <row r="140">
      <c r="Q140" s="1"/>
    </row>
    <row r="141">
      <c r="Q141" s="1"/>
    </row>
    <row r="142">
      <c r="Q142" s="1"/>
    </row>
    <row r="143">
      <c r="Q143" s="1"/>
    </row>
    <row r="144">
      <c r="Q144" s="1"/>
    </row>
    <row r="145">
      <c r="Q145" s="1"/>
    </row>
    <row r="146">
      <c r="Q146" s="1"/>
    </row>
    <row r="147">
      <c r="Q147" s="1"/>
    </row>
    <row r="148">
      <c r="Q148" s="1"/>
    </row>
    <row r="149">
      <c r="Q149" s="1"/>
    </row>
    <row r="150">
      <c r="Q150" s="1"/>
    </row>
    <row r="151">
      <c r="Q151" s="1"/>
    </row>
    <row r="152">
      <c r="Q152" s="1"/>
    </row>
    <row r="153">
      <c r="Q153" s="1"/>
    </row>
    <row r="154">
      <c r="Q154" s="1"/>
    </row>
    <row r="155">
      <c r="Q155" s="1"/>
    </row>
    <row r="156">
      <c r="Q156" s="1"/>
    </row>
    <row r="157">
      <c r="Q157" s="1"/>
    </row>
    <row r="158">
      <c r="Q158" s="1"/>
    </row>
    <row r="159">
      <c r="Q159" s="1"/>
    </row>
    <row r="160">
      <c r="Q160" s="1"/>
    </row>
    <row r="161">
      <c r="Q161" s="1"/>
    </row>
    <row r="162">
      <c r="Q162" s="1"/>
    </row>
    <row r="163">
      <c r="Q163" s="1"/>
    </row>
    <row r="164">
      <c r="Q164" s="1"/>
    </row>
    <row r="165">
      <c r="Q165" s="1"/>
    </row>
    <row r="166">
      <c r="Q166" s="1"/>
    </row>
    <row r="167">
      <c r="Q167" s="1"/>
    </row>
    <row r="168">
      <c r="Q168" s="1"/>
    </row>
    <row r="169">
      <c r="Q169" s="1"/>
    </row>
    <row r="170">
      <c r="Q170" s="1"/>
    </row>
    <row r="171">
      <c r="Q171" s="1"/>
    </row>
    <row r="172">
      <c r="Q172" s="1"/>
    </row>
    <row r="173">
      <c r="Q173" s="1"/>
    </row>
    <row r="174">
      <c r="Q174" s="1"/>
    </row>
    <row r="175">
      <c r="Q175" s="1"/>
    </row>
    <row r="176">
      <c r="Q176" s="1"/>
    </row>
    <row r="177">
      <c r="Q177" s="1"/>
    </row>
    <row r="178">
      <c r="Q178" s="1"/>
    </row>
    <row r="179">
      <c r="Q179" s="1"/>
    </row>
    <row r="180">
      <c r="Q180" s="1"/>
    </row>
    <row r="181">
      <c r="Q181" s="1"/>
    </row>
    <row r="182">
      <c r="Q182" s="1"/>
    </row>
    <row r="183">
      <c r="Q183" s="1"/>
    </row>
    <row r="184">
      <c r="Q184" s="1"/>
    </row>
    <row r="185">
      <c r="Q185" s="1"/>
    </row>
    <row r="186">
      <c r="Q186" s="1"/>
    </row>
    <row r="187">
      <c r="Q187" s="1"/>
    </row>
    <row r="188">
      <c r="Q188" s="1"/>
    </row>
    <row r="189">
      <c r="Q189" s="1"/>
    </row>
    <row r="190">
      <c r="Q190" s="1"/>
    </row>
    <row r="191">
      <c r="Q191" s="1"/>
    </row>
    <row r="192">
      <c r="Q192" s="1"/>
    </row>
    <row r="193">
      <c r="Q193" s="1"/>
    </row>
    <row r="194">
      <c r="Q194" s="1"/>
    </row>
    <row r="195">
      <c r="Q195" s="1"/>
    </row>
    <row r="196">
      <c r="Q196" s="1"/>
    </row>
    <row r="197">
      <c r="Q197" s="1"/>
    </row>
    <row r="198">
      <c r="Q198" s="1"/>
    </row>
    <row r="199">
      <c r="Q199" s="1"/>
    </row>
    <row r="200">
      <c r="Q200" s="1"/>
    </row>
    <row r="201">
      <c r="Q201" s="1"/>
    </row>
  </sheetData>
  <picture r:id="rId1"/>
</worksheet>
</file>

<file path=xl/worksheets/sheet21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9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A1" s="57"/>
      <c r="B1" s="109" t="str">
        <v>Items</v>
      </c>
      <c r="C1" s="207" t="str">
        <v>1月</v>
      </c>
      <c r="D1" s="207" t="str">
        <v>2月</v>
      </c>
      <c r="E1" s="207" t="str">
        <v>3月</v>
      </c>
      <c r="F1" s="207" t="str">
        <v>4月</v>
      </c>
      <c r="G1" s="207" t="str">
        <v>5月</v>
      </c>
      <c r="H1" s="207" t="str">
        <v>6月</v>
      </c>
      <c r="I1" s="207" t="str">
        <v>7月</v>
      </c>
      <c r="J1" s="207" t="str">
        <v>8月</v>
      </c>
      <c r="K1" s="207" t="str">
        <v>9月</v>
      </c>
      <c r="L1" s="207" t="str">
        <v>10月</v>
      </c>
      <c r="M1" s="207" t="str">
        <v>11月</v>
      </c>
      <c r="N1" s="207" t="str">
        <v>12月</v>
      </c>
      <c r="O1" s="207" t="str">
        <v>合计 1-12月</v>
      </c>
      <c r="P1" s="207" t="str">
        <v>费比</v>
      </c>
      <c r="Q1" s="208" t="str">
        <v>备注</v>
      </c>
      <c r="R1" s="57"/>
      <c r="S1" s="57"/>
      <c r="T1" s="57"/>
    </row>
    <row r="2">
      <c r="A2" s="57"/>
      <c r="B2" s="195" t="str">
        <v>退后销量</v>
      </c>
      <c r="C2" s="194">
        <v>6145.4777360968565</v>
      </c>
      <c r="D2" s="194">
        <v>5605.21595709933</v>
      </c>
      <c r="E2" s="194">
        <v>6550.6740703450005</v>
      </c>
      <c r="F2" s="194">
        <v>5436.384151162603</v>
      </c>
      <c r="G2" s="194">
        <v>9488.347493644047</v>
      </c>
      <c r="H2" s="194">
        <v>8205.225768524922</v>
      </c>
      <c r="I2" s="194">
        <v>5335.0850676005675</v>
      </c>
      <c r="J2" s="194">
        <v>6705.999331806789</v>
      </c>
      <c r="K2" s="194">
        <v>7394.833100028634</v>
      </c>
      <c r="L2" s="194">
        <v>9798.998016567624</v>
      </c>
      <c r="M2" s="194">
        <v>7617.691083865114</v>
      </c>
      <c r="N2" s="194">
        <v>6807.298415368825</v>
      </c>
      <c r="O2" s="194">
        <f>SUM(C2:N2)</f>
      </c>
      <c r="P2" s="194"/>
      <c r="Q2" s="22"/>
      <c r="R2" s="57"/>
      <c r="S2" s="57"/>
      <c r="T2" s="57"/>
    </row>
    <row r="3">
      <c r="A3" s="201"/>
      <c r="B3" s="206" t="str">
        <v>自补前GMV</v>
      </c>
      <c r="C3" s="205">
        <f>C6/(1-$P$6)</f>
      </c>
      <c r="D3" s="205">
        <f>D6/(1-$P$6)</f>
      </c>
      <c r="E3" s="205">
        <f>E6/(1-$P$6)</f>
      </c>
      <c r="F3" s="205">
        <f>F6/(1-$P$6)</f>
      </c>
      <c r="G3" s="205">
        <f>G6/(1-$P$6)</f>
      </c>
      <c r="H3" s="205">
        <f>H6/(1-$P$6)</f>
      </c>
      <c r="I3" s="205">
        <f>I6/(1-$P$6)</f>
      </c>
      <c r="J3" s="205">
        <f>J6/(1-$P$6)</f>
      </c>
      <c r="K3" s="205">
        <f>K6/(1-$P$6)</f>
      </c>
      <c r="L3" s="205">
        <f>L6/(1-$P$6)</f>
      </c>
      <c r="M3" s="205">
        <f>M6/(1-$P$6)</f>
      </c>
      <c r="N3" s="205">
        <f>N6/(1-$P$6)</f>
      </c>
      <c r="O3" s="205">
        <f>O6/(1-$P$6)</f>
      </c>
      <c r="P3" s="205"/>
      <c r="Q3" s="146" t="str">
        <v>渠道填写</v>
      </c>
      <c r="R3" s="57"/>
      <c r="S3" s="57"/>
      <c r="T3" s="57"/>
    </row>
    <row r="4">
      <c r="A4" s="201"/>
      <c r="B4" s="206" t="str">
        <v>自补前GSV</v>
      </c>
      <c r="C4" s="205">
        <f>C8/(1-$P$8)</f>
      </c>
      <c r="D4" s="205">
        <f>D8/(1-$P$8)</f>
      </c>
      <c r="E4" s="205">
        <f>E8/(1-$P$8)</f>
      </c>
      <c r="F4" s="205">
        <f>F8/(1-$P$8)</f>
      </c>
      <c r="G4" s="205">
        <f>G8/(1-$P$8)</f>
      </c>
      <c r="H4" s="205">
        <f>H8/(1-$P$8)</f>
      </c>
      <c r="I4" s="205">
        <f>I8/(1-$P$8)</f>
      </c>
      <c r="J4" s="205">
        <f>J8/(1-$P$8)</f>
      </c>
      <c r="K4" s="205">
        <f>K8/(1-$P$8)</f>
      </c>
      <c r="L4" s="205">
        <f>L8/(1-$P$8)</f>
      </c>
      <c r="M4" s="205">
        <f>M8/(1-$P$8)</f>
      </c>
      <c r="N4" s="205">
        <f>N8/(1-$P$8)</f>
      </c>
      <c r="O4" s="205">
        <f>O8/(1-$P$8)</f>
      </c>
      <c r="P4" s="205"/>
      <c r="Q4" s="146" t="str">
        <v>渠道填写</v>
      </c>
      <c r="R4" s="57"/>
      <c r="S4" s="57"/>
      <c r="T4" s="57"/>
    </row>
    <row r="5">
      <c r="A5" s="201"/>
      <c r="B5" s="206" t="str">
        <v>国补自补费用</v>
      </c>
      <c r="C5" s="205">
        <f>C12</f>
      </c>
      <c r="D5" s="205">
        <f>D12</f>
      </c>
      <c r="E5" s="205">
        <f>E12</f>
      </c>
      <c r="F5" s="205">
        <f>F12</f>
      </c>
      <c r="G5" s="205">
        <f>G12</f>
      </c>
      <c r="H5" s="205">
        <f>H12</f>
      </c>
      <c r="I5" s="205">
        <f>I12</f>
      </c>
      <c r="J5" s="205">
        <f>J12</f>
      </c>
      <c r="K5" s="205">
        <f>K12</f>
      </c>
      <c r="L5" s="205">
        <f>L12</f>
      </c>
      <c r="M5" s="205">
        <f>M12</f>
      </c>
      <c r="N5" s="205">
        <f>N12</f>
      </c>
      <c r="O5" s="205">
        <f>SUM(C5:N5)</f>
      </c>
      <c r="P5" s="205"/>
      <c r="Q5" s="126" t="str">
        <v>渠道填写</v>
      </c>
      <c r="R5" s="57"/>
      <c r="S5" s="57"/>
      <c r="T5" s="57"/>
    </row>
    <row r="6">
      <c r="A6" s="201"/>
      <c r="B6" s="202" t="str">
        <v>GMV（国补后）</v>
      </c>
      <c r="C6" s="200">
        <v>2298798.124069389</v>
      </c>
      <c r="D6" s="200">
        <v>1740798.124069389</v>
      </c>
      <c r="E6" s="200">
        <v>2298798.124069389</v>
      </c>
      <c r="F6" s="200">
        <v>1950048.124069389</v>
      </c>
      <c r="G6" s="200">
        <v>3345048.124069389</v>
      </c>
      <c r="H6" s="200">
        <v>5088798.124069389</v>
      </c>
      <c r="I6" s="200">
        <v>2996298.124069389</v>
      </c>
      <c r="J6" s="200">
        <v>2996298.124069389</v>
      </c>
      <c r="K6" s="200">
        <v>2996298.124069389</v>
      </c>
      <c r="L6" s="200">
        <v>4391298.124069389</v>
      </c>
      <c r="M6" s="200">
        <v>5995548.124069389</v>
      </c>
      <c r="N6" s="200">
        <v>4042548.124069389</v>
      </c>
      <c r="O6" s="200">
        <f>SUM(C6:N6)</f>
      </c>
      <c r="P6" s="204">
        <v>0.15</v>
      </c>
      <c r="Q6" s="126" t="str">
        <v>渠道填写</v>
      </c>
      <c r="R6" s="57"/>
      <c r="S6" s="57"/>
      <c r="T6" s="57"/>
    </row>
    <row r="7">
      <c r="A7" s="201"/>
      <c r="B7" s="102" t="str">
        <v>退货率（发货前+后）</v>
      </c>
      <c r="C7" s="103">
        <v>0.3</v>
      </c>
      <c r="D7" s="103">
        <v>0.3</v>
      </c>
      <c r="E7" s="103">
        <v>0.3</v>
      </c>
      <c r="F7" s="103">
        <v>0.3</v>
      </c>
      <c r="G7" s="103">
        <v>0.3</v>
      </c>
      <c r="H7" s="103">
        <v>0.3</v>
      </c>
      <c r="I7" s="103">
        <v>0.3</v>
      </c>
      <c r="J7" s="103">
        <v>0.3</v>
      </c>
      <c r="K7" s="103">
        <v>0.3</v>
      </c>
      <c r="L7" s="103">
        <v>0.3</v>
      </c>
      <c r="M7" s="103">
        <v>0.3</v>
      </c>
      <c r="N7" s="103">
        <v>0.3</v>
      </c>
      <c r="O7" s="103">
        <f>1-O8/O6</f>
      </c>
      <c r="P7" s="103"/>
      <c r="Q7" s="22" t="str">
        <v>渠道填写</v>
      </c>
      <c r="R7" s="57"/>
      <c r="S7" s="57"/>
      <c r="T7" s="57"/>
    </row>
    <row r="8">
      <c r="A8" s="201"/>
      <c r="B8" s="202" t="str">
        <v>GSV（国补后）</v>
      </c>
      <c r="C8" s="200">
        <v>1738875</v>
      </c>
      <c r="D8" s="200">
        <v>1418408.8812803975</v>
      </c>
      <c r="E8" s="200">
        <v>1809008.8812803973</v>
      </c>
      <c r="F8" s="200">
        <v>1564883.8812803975</v>
      </c>
      <c r="G8" s="200">
        <v>2541383.8812803975</v>
      </c>
      <c r="H8" s="200">
        <v>3762008.881280397</v>
      </c>
      <c r="I8" s="200">
        <v>2297258.8812803975</v>
      </c>
      <c r="J8" s="200">
        <v>2297258.8812803975</v>
      </c>
      <c r="K8" s="200">
        <v>2297258.8812803975</v>
      </c>
      <c r="L8" s="200">
        <v>3273758.8812803975</v>
      </c>
      <c r="M8" s="200">
        <v>4396733.881280397</v>
      </c>
      <c r="N8" s="200">
        <v>3029633.8812803975</v>
      </c>
      <c r="O8" s="200">
        <f>SUM(C8:N8)</f>
      </c>
      <c r="P8" s="204">
        <v>0.15</v>
      </c>
      <c r="Q8" s="22" t="str">
        <v>渠道填写</v>
      </c>
      <c r="R8" s="57"/>
      <c r="S8" s="57"/>
      <c r="T8" s="57"/>
    </row>
    <row r="9">
      <c r="A9" s="57"/>
      <c r="B9" s="195"/>
      <c r="C9" s="194">
        <f>C10-C14-C15</f>
      </c>
      <c r="D9" s="194">
        <f>D10-D14-D15</f>
      </c>
      <c r="E9" s="194">
        <f>E10-E14-E15</f>
      </c>
      <c r="F9" s="194">
        <f>F10-F14-F15</f>
      </c>
      <c r="G9" s="194">
        <f>G10-G14-G15</f>
      </c>
      <c r="H9" s="194">
        <f>H10-H14-H15</f>
      </c>
      <c r="I9" s="194">
        <f>I10-I14-I15</f>
      </c>
      <c r="J9" s="194">
        <f>J10-J14-J15</f>
      </c>
      <c r="K9" s="194">
        <f>K10-K14-K15</f>
      </c>
      <c r="L9" s="194">
        <f>L10-L14-L15</f>
      </c>
      <c r="M9" s="194">
        <f>M10-M14-M15</f>
      </c>
      <c r="N9" s="194">
        <f>N10-N14-N15</f>
      </c>
      <c r="O9" s="194">
        <f>O10-O14-O15</f>
      </c>
      <c r="P9" s="194"/>
      <c r="Q9" s="22"/>
      <c r="R9" s="57"/>
      <c r="S9" s="57"/>
      <c r="T9" s="57"/>
    </row>
    <row r="10">
      <c r="A10" s="201"/>
      <c r="B10" s="202" t="str">
        <v>零售价（去除退货后的）</v>
      </c>
      <c r="C10" s="200">
        <f>C4+C13</f>
      </c>
      <c r="D10" s="200">
        <f>D4+D13</f>
      </c>
      <c r="E10" s="200">
        <f>E4+E13</f>
      </c>
      <c r="F10" s="200">
        <f>F4+F13</f>
      </c>
      <c r="G10" s="200">
        <f>G4+G13</f>
      </c>
      <c r="H10" s="200">
        <f>H4+H13</f>
      </c>
      <c r="I10" s="200">
        <f>I4+I13</f>
      </c>
      <c r="J10" s="200">
        <f>J4+J13</f>
      </c>
      <c r="K10" s="200">
        <f>K4+K13</f>
      </c>
      <c r="L10" s="200">
        <f>L4+L13</f>
      </c>
      <c r="M10" s="200">
        <f>M4+M13</f>
      </c>
      <c r="N10" s="200">
        <f>N4+N13</f>
      </c>
      <c r="O10" s="200">
        <f>SUM(C10:N10)</f>
      </c>
      <c r="P10" s="200"/>
      <c r="Q10" s="22"/>
      <c r="R10" s="57"/>
      <c r="S10" s="57"/>
      <c r="T10" s="57"/>
    </row>
    <row r="11">
      <c r="A11" s="57"/>
      <c r="B11" s="192" t="str">
        <v>合同折扣及返利 (线下）</v>
      </c>
      <c r="C11" s="191"/>
      <c r="D11" s="191"/>
      <c r="E11" s="191"/>
      <c r="F11" s="191"/>
      <c r="G11" s="191"/>
      <c r="H11" s="191"/>
      <c r="I11" s="191"/>
      <c r="J11" s="191"/>
      <c r="K11" s="191"/>
      <c r="L11" s="191"/>
      <c r="M11" s="191"/>
      <c r="N11" s="191"/>
      <c r="O11" s="191">
        <f>SUM(C11:N11)</f>
      </c>
      <c r="P11" s="191"/>
      <c r="Q11" s="22" t="str">
        <v>线下渠道填写</v>
      </c>
      <c r="R11" s="57"/>
      <c r="S11" s="57"/>
      <c r="T11" s="57"/>
    </row>
    <row r="12">
      <c r="A12" s="57"/>
      <c r="B12" s="192" t="str">
        <v>国补自补 （线上）</v>
      </c>
      <c r="C12" s="191">
        <f>C4*$P$12</f>
      </c>
      <c r="D12" s="191">
        <f>D4*$P$12</f>
      </c>
      <c r="E12" s="191">
        <f>E4*$P$12</f>
      </c>
      <c r="F12" s="191">
        <f>F4*$P$12</f>
      </c>
      <c r="G12" s="191">
        <f>G4*$P$12</f>
      </c>
      <c r="H12" s="191">
        <f>H4*$P$12</f>
      </c>
      <c r="I12" s="191">
        <f>I4*$P$12</f>
      </c>
      <c r="J12" s="191">
        <f>J4*$P$12</f>
      </c>
      <c r="K12" s="191">
        <f>K4*$P$12</f>
      </c>
      <c r="L12" s="191">
        <f>L4*$P$12</f>
      </c>
      <c r="M12" s="191">
        <f>M4*$P$12</f>
      </c>
      <c r="N12" s="191">
        <f>N4*$P$12</f>
      </c>
      <c r="O12" s="191">
        <f>SUM(C12:N12)</f>
      </c>
      <c r="P12" s="198">
        <v>0.15</v>
      </c>
      <c r="Q12" s="22" t="str">
        <v>渠道填写</v>
      </c>
      <c r="R12" s="197">
        <f>O12/$O$10</f>
      </c>
      <c r="S12" s="57"/>
      <c r="T12" s="57"/>
    </row>
    <row r="13">
      <c r="A13" s="57"/>
      <c r="B13" s="192" t="str">
        <v>红包消费券等促销折扣</v>
      </c>
      <c r="C13" s="191">
        <f>C3*$P$13</f>
      </c>
      <c r="D13" s="191">
        <f>D3*$P$12</f>
      </c>
      <c r="E13" s="191">
        <f>E3*$P$12</f>
      </c>
      <c r="F13" s="191">
        <f>F3*$P$12</f>
      </c>
      <c r="G13" s="191">
        <f>G3*$P$12</f>
      </c>
      <c r="H13" s="191">
        <f>H3*$P$12</f>
      </c>
      <c r="I13" s="191">
        <f>I3*$P$12</f>
      </c>
      <c r="J13" s="191">
        <f>J3*$P$12</f>
      </c>
      <c r="K13" s="191">
        <f>K3*$P$12</f>
      </c>
      <c r="L13" s="191">
        <f>L3*$P$12</f>
      </c>
      <c r="M13" s="191">
        <f>M3*$P$12</f>
      </c>
      <c r="N13" s="191">
        <f>N3*$P$12</f>
      </c>
      <c r="O13" s="191">
        <f>O3*$P$12</f>
      </c>
      <c r="P13" s="198">
        <v>0.1</v>
      </c>
      <c r="Q13" s="22" t="str">
        <v>渠道填写</v>
      </c>
      <c r="R13" s="197">
        <f>O13/$O$10</f>
      </c>
      <c r="S13" s="57"/>
      <c r="T13" s="57"/>
    </row>
    <row r="14">
      <c r="A14" s="57"/>
      <c r="B14" s="217" t="str">
        <v>TTL 折扣合计</v>
      </c>
      <c r="C14" s="215">
        <f>SUM(C11:C13)</f>
      </c>
      <c r="D14" s="215">
        <f>SUM(D11:D13)</f>
      </c>
      <c r="E14" s="215">
        <f>SUM(E11:E13)</f>
      </c>
      <c r="F14" s="215">
        <f>SUM(F11:F13)</f>
      </c>
      <c r="G14" s="215">
        <f>SUM(G11:G13)</f>
      </c>
      <c r="H14" s="215">
        <f>SUM(H11:H13)</f>
      </c>
      <c r="I14" s="215">
        <f>SUM(I11:I13)</f>
      </c>
      <c r="J14" s="215">
        <f>SUM(J11:J13)</f>
      </c>
      <c r="K14" s="215">
        <f>SUM(K11:K13)</f>
      </c>
      <c r="L14" s="215">
        <f>SUM(L11:L13)</f>
      </c>
      <c r="M14" s="215">
        <f>SUM(M11:M13)</f>
      </c>
      <c r="N14" s="215">
        <f>SUM(N11:N13)</f>
      </c>
      <c r="O14" s="215">
        <f>SUM(C14:N14)</f>
      </c>
      <c r="P14" s="215"/>
      <c r="Q14" s="22"/>
      <c r="R14" s="57"/>
      <c r="S14" s="57"/>
      <c r="T14" s="57"/>
    </row>
    <row r="15">
      <c r="A15" s="201"/>
      <c r="B15" s="202" t="str">
        <v>GSV</v>
      </c>
      <c r="C15" s="200">
        <f>C8</f>
      </c>
      <c r="D15" s="200">
        <f>D8</f>
      </c>
      <c r="E15" s="200">
        <f>E8</f>
      </c>
      <c r="F15" s="200">
        <f>F8</f>
      </c>
      <c r="G15" s="200">
        <f>G8</f>
      </c>
      <c r="H15" s="200">
        <f>H8</f>
      </c>
      <c r="I15" s="200">
        <f>I8</f>
      </c>
      <c r="J15" s="200">
        <f>J8</f>
      </c>
      <c r="K15" s="200">
        <f>K8</f>
      </c>
      <c r="L15" s="200">
        <f>L8</f>
      </c>
      <c r="M15" s="200">
        <f>M8</f>
      </c>
      <c r="N15" s="200">
        <f>N8</f>
      </c>
      <c r="O15" s="200">
        <f>SUM(C15:N15)</f>
      </c>
      <c r="P15" s="200"/>
      <c r="Q15" s="22"/>
      <c r="R15" s="57"/>
      <c r="S15" s="57"/>
      <c r="T15" s="57"/>
    </row>
    <row r="16">
      <c r="A16" s="201"/>
      <c r="B16" s="202" t="str">
        <v>营业收入</v>
      </c>
      <c r="C16" s="200">
        <f>+C8/1.13</f>
      </c>
      <c r="D16" s="200">
        <f>+D8/1.13</f>
      </c>
      <c r="E16" s="200">
        <f>+E8/1.13</f>
      </c>
      <c r="F16" s="200">
        <f>+F8/1.13</f>
      </c>
      <c r="G16" s="200">
        <f>+G8/1.13</f>
      </c>
      <c r="H16" s="200">
        <f>+H8/1.13</f>
      </c>
      <c r="I16" s="200">
        <f>+I8/1.13</f>
      </c>
      <c r="J16" s="200">
        <f>+J8/1.13</f>
      </c>
      <c r="K16" s="200">
        <f>+K8/1.13</f>
      </c>
      <c r="L16" s="200">
        <f>+L8/1.13</f>
      </c>
      <c r="M16" s="200">
        <f>+M8/1.13</f>
      </c>
      <c r="N16" s="200">
        <f>+N8/1.13</f>
      </c>
      <c r="O16" s="200">
        <f>SUM(C16:N16)</f>
      </c>
      <c r="P16" s="200"/>
      <c r="Q16" s="22"/>
      <c r="R16" s="57"/>
      <c r="S16" s="57"/>
      <c r="T16" s="57"/>
    </row>
    <row r="17">
      <c r="A17" s="57"/>
      <c r="B17" s="57"/>
      <c r="C17" s="57"/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22"/>
      <c r="R17" s="57"/>
      <c r="S17" s="57"/>
      <c r="T17" s="57"/>
    </row>
    <row r="18">
      <c r="A18" s="57"/>
      <c r="B18" s="192" t="str">
        <v>标准主品配件成本</v>
      </c>
      <c r="C18" s="84">
        <f>C64*C65</f>
      </c>
      <c r="D18" s="84">
        <f>D64*D65</f>
      </c>
      <c r="E18" s="84">
        <f>E64*E65</f>
      </c>
      <c r="F18" s="84">
        <f>F64*F65</f>
      </c>
      <c r="G18" s="84">
        <f>G64*G65</f>
      </c>
      <c r="H18" s="84">
        <f>H64*H65</f>
      </c>
      <c r="I18" s="84">
        <f>I64*I65</f>
      </c>
      <c r="J18" s="84">
        <f>J64*J65</f>
      </c>
      <c r="K18" s="84">
        <f>K64*K65</f>
      </c>
      <c r="L18" s="84">
        <f>L64*L65</f>
      </c>
      <c r="M18" s="84">
        <f>M64*M65</f>
      </c>
      <c r="N18" s="84">
        <f>N64*N65</f>
      </c>
      <c r="O18" s="191">
        <f>SUM(C18:N18)</f>
      </c>
      <c r="P18" s="199">
        <f>O18/O16</f>
      </c>
      <c r="Q18" s="22"/>
      <c r="R18" s="57"/>
      <c r="S18" s="57"/>
      <c r="T18" s="57"/>
    </row>
    <row r="19">
      <c r="A19" s="57"/>
      <c r="B19" s="217" t="str">
        <v>产品毛利</v>
      </c>
      <c r="C19" s="215">
        <f>C16-C18</f>
      </c>
      <c r="D19" s="215">
        <f>D16-D18</f>
      </c>
      <c r="E19" s="215">
        <f>E16-E18</f>
      </c>
      <c r="F19" s="215">
        <f>F16-F18</f>
      </c>
      <c r="G19" s="215">
        <f>G16-G18</f>
      </c>
      <c r="H19" s="215">
        <f>H16-H18</f>
      </c>
      <c r="I19" s="215">
        <f>I16-I18</f>
      </c>
      <c r="J19" s="215">
        <f>J16-J18</f>
      </c>
      <c r="K19" s="215">
        <f>K16-K18</f>
      </c>
      <c r="L19" s="215">
        <f>L16-L18</f>
      </c>
      <c r="M19" s="215">
        <f>M16-M18</f>
      </c>
      <c r="N19" s="215">
        <f>N16-N18</f>
      </c>
      <c r="O19" s="215">
        <f>SUM(C19:N19)</f>
      </c>
      <c r="P19" s="216">
        <f>O19/$O$16</f>
      </c>
      <c r="Q19" s="22"/>
      <c r="R19" s="57"/>
      <c r="S19" s="57"/>
      <c r="T19" s="57"/>
    </row>
    <row r="20">
      <c r="A20" s="194"/>
      <c r="B20" s="195" t="str">
        <v>头程/尾程物流/仓储费用</v>
      </c>
      <c r="C20" s="219">
        <f>C16*2.5%</f>
      </c>
      <c r="D20" s="219">
        <f>D16*2.5%</f>
      </c>
      <c r="E20" s="219">
        <f>E16*2.5%</f>
      </c>
      <c r="F20" s="219">
        <f>F16*2.5%</f>
      </c>
      <c r="G20" s="219">
        <f>G16*2.5%</f>
      </c>
      <c r="H20" s="219">
        <f>H16*2.5%</f>
      </c>
      <c r="I20" s="219">
        <f>I16*2.5%</f>
      </c>
      <c r="J20" s="219">
        <f>J16*2.5%</f>
      </c>
      <c r="K20" s="219">
        <f>K16*2.5%</f>
      </c>
      <c r="L20" s="219">
        <f>L16*2.5%</f>
      </c>
      <c r="M20" s="219">
        <f>M16*2.5%</f>
      </c>
      <c r="N20" s="219">
        <f>N16*2.5%</f>
      </c>
      <c r="O20" s="219">
        <f>SUM(C20:N20)</f>
      </c>
      <c r="P20" s="220">
        <v>0.025</v>
      </c>
      <c r="Q20" s="22"/>
      <c r="R20" s="57"/>
      <c r="S20" s="57"/>
      <c r="T20" s="57"/>
    </row>
    <row r="21">
      <c r="A21" s="57"/>
      <c r="B21" s="217" t="str">
        <v>成本合计（产品+物流）</v>
      </c>
      <c r="C21" s="215">
        <f>SUM(C18,C20)</f>
      </c>
      <c r="D21" s="215">
        <f>SUM(D18,D20)</f>
      </c>
      <c r="E21" s="215">
        <f>SUM(E18,E20)</f>
      </c>
      <c r="F21" s="215">
        <f>SUM(F18,F20)</f>
      </c>
      <c r="G21" s="215">
        <f>SUM(G18,G20)</f>
      </c>
      <c r="H21" s="215">
        <f>SUM(H18,H20)</f>
      </c>
      <c r="I21" s="215">
        <f>SUM(I18,I20)</f>
      </c>
      <c r="J21" s="215">
        <f>SUM(J18,J20)</f>
      </c>
      <c r="K21" s="215">
        <f>SUM(K18,K20)</f>
      </c>
      <c r="L21" s="215">
        <f>SUM(L18,L20)</f>
      </c>
      <c r="M21" s="215">
        <f>SUM(M18,M20)</f>
      </c>
      <c r="N21" s="215">
        <f>SUM(N18,N20)</f>
      </c>
      <c r="O21" s="215">
        <f>SUM(C21:N21)</f>
      </c>
      <c r="P21" s="216">
        <f>O21/$O$16</f>
      </c>
      <c r="Q21" s="22"/>
      <c r="R21" s="57"/>
      <c r="S21" s="57"/>
      <c r="T21" s="57"/>
    </row>
    <row r="22">
      <c r="A22" s="201"/>
      <c r="B22" s="202" t="str">
        <v>净毛利</v>
      </c>
      <c r="C22" s="200">
        <f>C16-C21</f>
      </c>
      <c r="D22" s="200">
        <f>D16-D21</f>
      </c>
      <c r="E22" s="200">
        <f>E16-E21</f>
      </c>
      <c r="F22" s="200">
        <f>F16-F21</f>
      </c>
      <c r="G22" s="200">
        <f>G16-G21</f>
      </c>
      <c r="H22" s="200">
        <f>H16-H21</f>
      </c>
      <c r="I22" s="200">
        <f>I16-I21</f>
      </c>
      <c r="J22" s="200">
        <f>J16-J21</f>
      </c>
      <c r="K22" s="200">
        <f>K16-K21</f>
      </c>
      <c r="L22" s="200">
        <f>L16-L21</f>
      </c>
      <c r="M22" s="200">
        <f>M16-M21</f>
      </c>
      <c r="N22" s="200">
        <f>N16-N21</f>
      </c>
      <c r="O22" s="200">
        <f>SUM(C22:N22)</f>
      </c>
      <c r="P22" s="213">
        <f>O22/$O$16</f>
      </c>
      <c r="Q22" s="22"/>
      <c r="R22" s="57"/>
      <c r="S22" s="57"/>
      <c r="T22" s="57"/>
    </row>
    <row r="23">
      <c r="A23" s="57"/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196"/>
      <c r="Q23" s="22"/>
      <c r="R23" s="57"/>
      <c r="S23" s="57"/>
      <c r="T23" s="57"/>
    </row>
    <row r="24">
      <c r="A24" s="57"/>
      <c r="B24" s="102" t="str">
        <v>合计毛利率</v>
      </c>
      <c r="C24" s="218">
        <f>IFERROR(1-C21/C16,0)</f>
      </c>
      <c r="D24" s="218">
        <f>IFERROR(1-D21/D16,0)</f>
      </c>
      <c r="E24" s="218">
        <f>IFERROR(1-E21/E16,0)</f>
      </c>
      <c r="F24" s="218">
        <f>IFERROR(1-F21/F16,0)</f>
      </c>
      <c r="G24" s="218">
        <f>IFERROR(1-G21/G16,0)</f>
      </c>
      <c r="H24" s="218">
        <f>IFERROR(1-H21/H16,0)</f>
      </c>
      <c r="I24" s="218">
        <f>IFERROR(1-I21/I16,0)</f>
      </c>
      <c r="J24" s="218">
        <f>IFERROR(1-J21/J16,0)</f>
      </c>
      <c r="K24" s="218">
        <f>IFERROR(1-K21/K16,0)</f>
      </c>
      <c r="L24" s="218">
        <f>IFERROR(1-L21/L16,0)</f>
      </c>
      <c r="M24" s="218">
        <f>IFERROR(1-M21/M16,0)</f>
      </c>
      <c r="N24" s="218">
        <f>IFERROR(1-N21/N16,0)</f>
      </c>
      <c r="O24" s="218">
        <f>IFERROR(1-O21/O16,0)</f>
      </c>
      <c r="P24" s="196"/>
      <c r="Q24" s="22"/>
      <c r="R24" s="57"/>
      <c r="S24" s="57"/>
      <c r="T24" s="57"/>
    </row>
    <row r="25">
      <c r="A25" s="57"/>
      <c r="B25" s="57"/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6"/>
      <c r="Q25" s="22"/>
      <c r="R25" s="57"/>
      <c r="S25" s="57"/>
      <c r="T25" s="57"/>
    </row>
    <row r="26">
      <c r="A26" s="57"/>
      <c r="B26" s="192" t="str">
        <v>品牌及内容费用</v>
      </c>
      <c r="C26" s="191">
        <f>SUM(C27:C31)</f>
      </c>
      <c r="D26" s="191">
        <f>SUM(D27:D31)</f>
      </c>
      <c r="E26" s="191">
        <f>SUM(E27:E31)</f>
      </c>
      <c r="F26" s="191">
        <f>SUM(F27:F31)</f>
      </c>
      <c r="G26" s="191">
        <f>SUM(G27:G31)</f>
      </c>
      <c r="H26" s="191">
        <f>SUM(H27:H31)</f>
      </c>
      <c r="I26" s="191">
        <f>SUM(I27:I31)</f>
      </c>
      <c r="J26" s="191">
        <f>SUM(J27:J31)</f>
      </c>
      <c r="K26" s="191">
        <f>SUM(K27:K31)</f>
      </c>
      <c r="L26" s="191">
        <f>SUM(L27:L31)</f>
      </c>
      <c r="M26" s="191">
        <f>SUM(M27:M31)</f>
      </c>
      <c r="N26" s="191">
        <f>SUM(N27:N31)</f>
      </c>
      <c r="O26" s="191">
        <f>SUM(C26:N26)</f>
      </c>
      <c r="P26" s="199">
        <f>O26/$O$16</f>
      </c>
      <c r="Q26" s="22"/>
      <c r="R26" s="57"/>
      <c r="S26" s="57"/>
      <c r="T26" s="57"/>
    </row>
    <row r="27">
      <c r="A27" s="194"/>
      <c r="B27" s="195" t="str">
        <v>展会</v>
      </c>
      <c r="C27" s="209">
        <v>0</v>
      </c>
      <c r="D27" s="209">
        <v>0</v>
      </c>
      <c r="E27" s="209">
        <v>4512.028445127306</v>
      </c>
      <c r="F27" s="209">
        <v>3770.734198310768</v>
      </c>
      <c r="G27" s="209">
        <v>7985.571244100343</v>
      </c>
      <c r="H27" s="209">
        <v>7141.019116146237</v>
      </c>
      <c r="I27" s="209">
        <v>4581.794881454317</v>
      </c>
      <c r="J27" s="209">
        <v>6263.369721071553</v>
      </c>
      <c r="K27" s="209">
        <v>5032.314993253403</v>
      </c>
      <c r="L27" s="209">
        <v>8447.23803759363</v>
      </c>
      <c r="M27" s="209">
        <v>6473.361067143853</v>
      </c>
      <c r="N27" s="209">
        <v>0</v>
      </c>
      <c r="O27" s="194">
        <f>SUM(C27:N27)</f>
      </c>
      <c r="P27" s="196">
        <f>O27/$O$16</f>
      </c>
      <c r="Q27" s="195"/>
      <c r="R27" s="57"/>
      <c r="S27" s="57"/>
      <c r="T27" s="57"/>
    </row>
    <row r="28">
      <c r="A28" s="194"/>
      <c r="B28" s="195" t="str">
        <v>品牌营销</v>
      </c>
      <c r="C28" s="209">
        <v>0</v>
      </c>
      <c r="D28" s="209">
        <v>0</v>
      </c>
      <c r="E28" s="209">
        <v>0</v>
      </c>
      <c r="F28" s="209">
        <v>4524.881037972922</v>
      </c>
      <c r="G28" s="209">
        <v>47913.42746460206</v>
      </c>
      <c r="H28" s="209">
        <v>22851.261171667957</v>
      </c>
      <c r="I28" s="209">
        <v>0</v>
      </c>
      <c r="J28" s="209">
        <v>7516.043665285863</v>
      </c>
      <c r="K28" s="209">
        <v>16103.407978410889</v>
      </c>
      <c r="L28" s="209">
        <v>10136.685645112357</v>
      </c>
      <c r="M28" s="209">
        <v>7768.033280572623</v>
      </c>
      <c r="N28" s="209">
        <v>0</v>
      </c>
      <c r="O28" s="194">
        <f>SUM(C28:N28)</f>
      </c>
      <c r="P28" s="196">
        <f>O28/$O$16</f>
      </c>
      <c r="Q28" s="195"/>
      <c r="R28" s="57"/>
      <c r="S28" s="57"/>
      <c r="T28" s="57"/>
    </row>
    <row r="29">
      <c r="A29" s="194"/>
      <c r="B29" s="195" t="str">
        <v>内容素材制作</v>
      </c>
      <c r="C29" s="209">
        <v>2199.9157830642953</v>
      </c>
      <c r="D29" s="209">
        <v>1783.127846572165</v>
      </c>
      <c r="E29" s="209">
        <v>1804.8113780509225</v>
      </c>
      <c r="F29" s="209">
        <v>7541.468396621536</v>
      </c>
      <c r="G29" s="209">
        <v>47913.42746460206</v>
      </c>
      <c r="H29" s="209">
        <v>31420.484111043443</v>
      </c>
      <c r="I29" s="209">
        <v>0</v>
      </c>
      <c r="J29" s="209">
        <v>7516.043665285863</v>
      </c>
      <c r="K29" s="209">
        <v>16103.407978410889</v>
      </c>
      <c r="L29" s="209">
        <v>16894.47607518726</v>
      </c>
      <c r="M29" s="209">
        <v>12946.722134287706</v>
      </c>
      <c r="N29" s="209">
        <v>2248.057340894017</v>
      </c>
      <c r="O29" s="194">
        <f>SUM(C29:N29)</f>
      </c>
      <c r="P29" s="196">
        <f>O29/$O$16</f>
      </c>
      <c r="Q29" s="22"/>
      <c r="R29" s="57"/>
      <c r="S29" s="57"/>
      <c r="T29" s="57"/>
    </row>
    <row r="30">
      <c r="A30" s="194"/>
      <c r="B30" s="195" t="str">
        <v>公关费用</v>
      </c>
      <c r="C30" s="209">
        <v>2199.9157830642953</v>
      </c>
      <c r="D30" s="209">
        <v>1783.127846572165</v>
      </c>
      <c r="E30" s="209">
        <v>14438.49102440738</v>
      </c>
      <c r="F30" s="209">
        <v>1508.293679324307</v>
      </c>
      <c r="G30" s="209">
        <v>9582.685492920411</v>
      </c>
      <c r="H30" s="209">
        <v>2856.4076464584946</v>
      </c>
      <c r="I30" s="209">
        <v>1832.7179525817269</v>
      </c>
      <c r="J30" s="209">
        <v>2505.3478884286214</v>
      </c>
      <c r="K30" s="209">
        <v>2012.9259973013611</v>
      </c>
      <c r="L30" s="209">
        <v>6757.790430074905</v>
      </c>
      <c r="M30" s="209">
        <v>5178.688853715083</v>
      </c>
      <c r="N30" s="209">
        <v>2248.057340894017</v>
      </c>
      <c r="O30" s="194">
        <f>SUM(C30:N30)</f>
      </c>
      <c r="P30" s="196">
        <f>O30/$O$16</f>
      </c>
      <c r="Q30" s="22"/>
      <c r="R30" s="57"/>
      <c r="S30" s="57"/>
      <c r="T30" s="57"/>
    </row>
    <row collapsed="true" r="31">
      <c r="A31" s="194"/>
      <c r="B31" s="195" t="str">
        <v>达人种草、样机及加热</v>
      </c>
      <c r="C31" s="209">
        <v>21999.15783064296</v>
      </c>
      <c r="D31" s="209">
        <v>89156.39232860826</v>
      </c>
      <c r="E31" s="209">
        <v>144384.9102440738</v>
      </c>
      <c r="F31" s="209">
        <v>75414.68396621535</v>
      </c>
      <c r="G31" s="209">
        <v>287480.56478761235</v>
      </c>
      <c r="H31" s="209">
        <v>171384.45878750968</v>
      </c>
      <c r="I31" s="209">
        <v>36654.359051634536</v>
      </c>
      <c r="J31" s="209">
        <v>50106.95776857242</v>
      </c>
      <c r="K31" s="209">
        <v>20129.259973013613</v>
      </c>
      <c r="L31" s="209">
        <v>168944.76075187259</v>
      </c>
      <c r="M31" s="209">
        <v>51786.88853715082</v>
      </c>
      <c r="N31" s="209">
        <v>44961.14681788034</v>
      </c>
      <c r="O31" s="194">
        <f>SUM(C31:N31)</f>
      </c>
      <c r="P31" s="196">
        <f>O31/$O$16</f>
      </c>
      <c r="Q31" s="22"/>
      <c r="R31" s="57"/>
      <c r="S31" s="57"/>
      <c r="T31" s="57"/>
    </row>
    <row hidden="true" outlineLevel="1" r="32">
      <c r="A32" s="194"/>
      <c r="B32" s="195" t="str">
        <v>展会(费率)</v>
      </c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6"/>
      <c r="Q32" s="22"/>
      <c r="R32" s="57"/>
      <c r="S32" s="57"/>
      <c r="T32" s="57"/>
    </row>
    <row hidden="true" outlineLevel="1" r="33">
      <c r="A33" s="194"/>
      <c r="B33" s="195" t="str">
        <v>品牌营销（费率）</v>
      </c>
      <c r="C33" s="194"/>
      <c r="D33" s="194"/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6"/>
      <c r="Q33" s="22"/>
      <c r="R33" s="57"/>
      <c r="S33" s="57"/>
      <c r="T33" s="57"/>
    </row>
    <row hidden="true" outlineLevel="1" r="34">
      <c r="A34" s="194"/>
      <c r="B34" s="195" t="str">
        <v>内容素材制作（费率）</v>
      </c>
      <c r="C34" s="194"/>
      <c r="D34" s="194"/>
      <c r="E34" s="194"/>
      <c r="F34" s="194"/>
      <c r="G34" s="194"/>
      <c r="H34" s="194"/>
      <c r="I34" s="194"/>
      <c r="J34" s="194"/>
      <c r="K34" s="194"/>
      <c r="L34" s="194"/>
      <c r="M34" s="194"/>
      <c r="N34" s="194"/>
      <c r="O34" s="194"/>
      <c r="P34" s="196"/>
      <c r="Q34" s="22"/>
      <c r="R34" s="57"/>
      <c r="S34" s="57"/>
      <c r="T34" s="57"/>
    </row>
    <row hidden="true" outlineLevel="1" r="35">
      <c r="A35" s="194"/>
      <c r="B35" s="195" t="str">
        <v>公关费用（费率）</v>
      </c>
      <c r="C35" s="194"/>
      <c r="D35" s="194"/>
      <c r="E35" s="194"/>
      <c r="F35" s="194"/>
      <c r="G35" s="194"/>
      <c r="H35" s="194"/>
      <c r="I35" s="194"/>
      <c r="J35" s="194"/>
      <c r="K35" s="194"/>
      <c r="L35" s="194"/>
      <c r="M35" s="194"/>
      <c r="N35" s="194"/>
      <c r="O35" s="194"/>
      <c r="P35" s="196"/>
      <c r="Q35" s="22"/>
      <c r="R35" s="57"/>
      <c r="S35" s="57"/>
      <c r="T35" s="57"/>
    </row>
    <row hidden="true" outlineLevel="1" r="36">
      <c r="A36" s="194"/>
      <c r="B36" s="195" t="str">
        <v>达人种草、样机及加热（费率）</v>
      </c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4"/>
      <c r="P36" s="196"/>
      <c r="Q36" s="22"/>
      <c r="R36" s="57"/>
      <c r="S36" s="57"/>
      <c r="T36" s="57"/>
    </row>
    <row r="37">
      <c r="A37" s="57"/>
      <c r="B37" s="192" t="str">
        <v>效果广告</v>
      </c>
      <c r="C37" s="191">
        <f>SUM(C38:C40)</f>
      </c>
      <c r="D37" s="191">
        <f>SUM(D38:D40)</f>
      </c>
      <c r="E37" s="191">
        <f>SUM(E38:E40)</f>
      </c>
      <c r="F37" s="191">
        <f>SUM(F38:F40)</f>
      </c>
      <c r="G37" s="191">
        <f>SUM(G38:G40)</f>
      </c>
      <c r="H37" s="191">
        <f>SUM(H38:H40)</f>
      </c>
      <c r="I37" s="191">
        <f>SUM(I38:I40)</f>
      </c>
      <c r="J37" s="191">
        <f>SUM(J38:J40)</f>
      </c>
      <c r="K37" s="191">
        <f>SUM(K38:K40)</f>
      </c>
      <c r="L37" s="191">
        <f>SUM(L38:L40)</f>
      </c>
      <c r="M37" s="191">
        <f>SUM(M38:M40)</f>
      </c>
      <c r="N37" s="191">
        <f>SUM(N38:N40)</f>
      </c>
      <c r="O37" s="191">
        <f>SUM(C37:N37)</f>
      </c>
      <c r="P37" s="199">
        <f>O37/$O$16</f>
      </c>
      <c r="Q37" s="22"/>
      <c r="R37" s="57"/>
      <c r="S37" s="57"/>
      <c r="T37" s="57"/>
    </row>
    <row r="38">
      <c r="A38" s="194"/>
      <c r="B38" s="195" t="str">
        <v>站内投放</v>
      </c>
      <c r="C38" s="203">
        <v>72415.40864133264</v>
      </c>
      <c r="D38" s="203">
        <v>59069.60463426956</v>
      </c>
      <c r="E38" s="203">
        <v>75336.13248434763</v>
      </c>
      <c r="F38" s="203">
        <v>65169.55257804884</v>
      </c>
      <c r="G38" s="203">
        <v>119065.35622864957</v>
      </c>
      <c r="H38" s="203">
        <v>176252.36820158034</v>
      </c>
      <c r="I38" s="203">
        <v>95669.29229694525</v>
      </c>
      <c r="J38" s="203">
        <v>95669.29229694525</v>
      </c>
      <c r="K38" s="203">
        <v>95669.29229694525</v>
      </c>
      <c r="L38" s="203">
        <v>136335.61192214047</v>
      </c>
      <c r="M38" s="203">
        <v>183101.87949111496</v>
      </c>
      <c r="N38" s="203">
        <v>157570.62479036022</v>
      </c>
      <c r="O38" s="194">
        <f>SUM(C38:N38)</f>
      </c>
      <c r="P38" s="196">
        <f>O38/$O$16</f>
      </c>
      <c r="Q38" s="22" t="str">
        <v>投放填写</v>
      </c>
      <c r="R38" s="57"/>
      <c r="S38" s="57"/>
      <c r="T38" s="57"/>
    </row>
    <row r="39">
      <c r="A39" s="194"/>
      <c r="B39" s="195" t="str">
        <v>千川投放</v>
      </c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194">
        <f>SUM(C39:N39)</f>
      </c>
      <c r="P39" s="196">
        <f>O39/$O$16</f>
      </c>
      <c r="Q39" s="22" t="str">
        <v>投放填写</v>
      </c>
      <c r="R39" s="57"/>
      <c r="S39" s="57"/>
      <c r="T39" s="57"/>
    </row>
    <row r="40">
      <c r="A40" s="194"/>
      <c r="B40" s="195" t="str">
        <v>站外投放</v>
      </c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194">
        <f>SUM(C40:N40)</f>
      </c>
      <c r="P40" s="196">
        <f>O40/$O$16</f>
      </c>
      <c r="Q40" s="22" t="str">
        <v>投放填写</v>
      </c>
      <c r="R40" s="57"/>
      <c r="S40" s="57"/>
      <c r="T40" s="57"/>
    </row>
    <row outlineLevel="1" r="41">
      <c r="A41" s="194"/>
      <c r="B41" s="195" t="str">
        <v>站内投放（费率）</v>
      </c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N41" s="193"/>
      <c r="O41" s="196">
        <f>O38/$O$16</f>
      </c>
      <c r="P41" s="57"/>
      <c r="Q41" s="22" t="str">
        <v>投放填写</v>
      </c>
      <c r="R41" s="57"/>
      <c r="S41" s="57"/>
      <c r="T41" s="57"/>
    </row>
    <row outlineLevel="1" r="42">
      <c r="A42" s="194"/>
      <c r="B42" s="195" t="str">
        <v>千川投放（费率）</v>
      </c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6">
        <f>O39/$O$16</f>
      </c>
      <c r="P42" s="57"/>
      <c r="Q42" s="22" t="str">
        <v>投放填写</v>
      </c>
      <c r="R42" s="57"/>
      <c r="S42" s="57"/>
      <c r="T42" s="57"/>
    </row>
    <row outlineLevel="1" r="43">
      <c r="A43" s="194"/>
      <c r="B43" s="195" t="str">
        <v>站外投放（费率）</v>
      </c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6">
        <f>O40/$O$16</f>
      </c>
      <c r="P43" s="57"/>
      <c r="Q43" s="22" t="str">
        <v>投放填写</v>
      </c>
      <c r="R43" s="57"/>
      <c r="S43" s="57"/>
      <c r="T43" s="57"/>
    </row>
    <row r="44">
      <c r="A44" s="57"/>
      <c r="B44" s="192" t="str">
        <v>线上营销费用</v>
      </c>
      <c r="C44" s="191">
        <f>SUM(C45:C46)</f>
      </c>
      <c r="D44" s="191">
        <f>SUM(D45:D46)</f>
      </c>
      <c r="E44" s="191">
        <f>SUM(E45:E46)</f>
      </c>
      <c r="F44" s="191">
        <f>SUM(F45:F46)</f>
      </c>
      <c r="G44" s="191">
        <f>SUM(G45:G46)</f>
      </c>
      <c r="H44" s="191">
        <f>SUM(H45:H46)</f>
      </c>
      <c r="I44" s="191">
        <f>SUM(I45:I46)</f>
      </c>
      <c r="J44" s="191">
        <f>SUM(J45:J46)</f>
      </c>
      <c r="K44" s="191">
        <f>SUM(K45:K46)</f>
      </c>
      <c r="L44" s="191">
        <f>SUM(L45:L46)</f>
      </c>
      <c r="M44" s="191">
        <f>SUM(M45:M46)</f>
      </c>
      <c r="N44" s="191">
        <f>SUM(N45:N46)</f>
      </c>
      <c r="O44" s="191">
        <f>SUM(C44:N44)</f>
      </c>
      <c r="P44" s="199">
        <f>O44/$O$16</f>
      </c>
      <c r="Q44" s="22"/>
      <c r="R44" s="57"/>
      <c r="S44" s="57"/>
      <c r="T44" s="57"/>
    </row>
    <row r="45">
      <c r="A45" s="194"/>
      <c r="B45" s="195" t="str">
        <v>直播费用</v>
      </c>
      <c r="C45" s="209">
        <f>C16*$P$45</f>
      </c>
      <c r="D45" s="209">
        <f>D16*$P$45</f>
      </c>
      <c r="E45" s="209">
        <f>E16*$P$45</f>
      </c>
      <c r="F45" s="209">
        <f>F16*$P$45</f>
      </c>
      <c r="G45" s="209">
        <f>G16*$P$45</f>
      </c>
      <c r="H45" s="209">
        <f>H16*$P$45</f>
      </c>
      <c r="I45" s="209">
        <f>I16*$P$45</f>
      </c>
      <c r="J45" s="209">
        <f>J16*$P$45</f>
      </c>
      <c r="K45" s="209">
        <f>K16*$P$45</f>
      </c>
      <c r="L45" s="209">
        <f>L16*$P$45</f>
      </c>
      <c r="M45" s="209">
        <f>M16*$P$45</f>
      </c>
      <c r="N45" s="209">
        <f>N16*$P$45</f>
      </c>
      <c r="O45" s="194">
        <f>SUM(C45:N45)</f>
      </c>
      <c r="P45" s="196"/>
      <c r="Q45" s="22" t="str">
        <v>达人填写</v>
      </c>
      <c r="R45" s="57"/>
      <c r="S45" s="57"/>
      <c r="T45" s="57"/>
    </row>
    <row r="46">
      <c r="A46" s="194"/>
      <c r="B46" s="195" t="str">
        <v>赠品费用</v>
      </c>
      <c r="C46" s="209">
        <f>C16*$P$46</f>
      </c>
      <c r="D46" s="209">
        <f>D16*$P$46</f>
      </c>
      <c r="E46" s="209">
        <f>E16*$P$46</f>
      </c>
      <c r="F46" s="209">
        <f>F16*$P$46</f>
      </c>
      <c r="G46" s="209">
        <f>G16*$P$46</f>
      </c>
      <c r="H46" s="209">
        <f>H16*$P$46</f>
      </c>
      <c r="I46" s="209">
        <f>I16*$P$46</f>
      </c>
      <c r="J46" s="209">
        <f>J16*$P$46</f>
      </c>
      <c r="K46" s="209">
        <f>K16*$P$46</f>
      </c>
      <c r="L46" s="209">
        <f>L16*$P$46</f>
      </c>
      <c r="M46" s="209">
        <f>M16*$P$46</f>
      </c>
      <c r="N46" s="209">
        <f>N16*$P$46</f>
      </c>
      <c r="O46" s="194">
        <f>SUM(C46:N46)</f>
      </c>
      <c r="P46" s="199"/>
      <c r="Q46" s="195" t="str">
        <v>渠道填写</v>
      </c>
      <c r="R46" s="57"/>
      <c r="S46" s="57"/>
      <c r="T46" s="57"/>
    </row>
    <row r="47">
      <c r="A47" s="57"/>
      <c r="B47" s="192" t="str">
        <v>线下市场费用</v>
      </c>
      <c r="C47" s="191">
        <f>SUM(C48:C51)</f>
      </c>
      <c r="D47" s="191">
        <f>SUM(D48:D51)</f>
      </c>
      <c r="E47" s="191">
        <f>SUM(E48:E51)</f>
      </c>
      <c r="F47" s="191">
        <f>SUM(F48:F51)</f>
      </c>
      <c r="G47" s="191">
        <f>SUM(G48:G51)</f>
      </c>
      <c r="H47" s="191">
        <f>SUM(H48:H51)</f>
      </c>
      <c r="I47" s="191">
        <f>SUM(I48:I51)</f>
      </c>
      <c r="J47" s="191">
        <f>SUM(J48:J51)</f>
      </c>
      <c r="K47" s="191">
        <f>SUM(K48:K51)</f>
      </c>
      <c r="L47" s="191">
        <f>SUM(L48:L51)</f>
      </c>
      <c r="M47" s="191">
        <f>SUM(M48:M51)</f>
      </c>
      <c r="N47" s="191">
        <f>SUM(N48:N51)</f>
      </c>
      <c r="O47" s="191">
        <f>SUM(C47:N47)</f>
      </c>
      <c r="P47" s="199">
        <f>O47/$O$16</f>
      </c>
      <c r="Q47" s="22"/>
      <c r="R47" s="57"/>
      <c r="S47" s="57"/>
      <c r="T47" s="57"/>
    </row>
    <row r="48">
      <c r="A48" s="194"/>
      <c r="B48" s="195" t="str">
        <v>线下渠道展陈、促销费用</v>
      </c>
      <c r="C48" s="209"/>
      <c r="D48" s="209"/>
      <c r="E48" s="209"/>
      <c r="F48" s="209"/>
      <c r="G48" s="209"/>
      <c r="H48" s="209"/>
      <c r="I48" s="209"/>
      <c r="J48" s="209"/>
      <c r="K48" s="209"/>
      <c r="L48" s="209"/>
      <c r="M48" s="209"/>
      <c r="N48" s="209"/>
      <c r="O48" s="194">
        <f>SUM(C48:N48)</f>
      </c>
      <c r="P48" s="196">
        <f>O48/$O$16</f>
      </c>
      <c r="Q48" s="195" t="str">
        <v>线下门店</v>
      </c>
      <c r="R48" s="57"/>
      <c r="S48" s="57"/>
      <c r="T48" s="57"/>
    </row>
    <row r="49">
      <c r="A49" s="194"/>
      <c r="B49" s="195" t="str">
        <v>租金+物业+水电</v>
      </c>
      <c r="C49" s="209"/>
      <c r="D49" s="209"/>
      <c r="E49" s="209"/>
      <c r="F49" s="209"/>
      <c r="G49" s="209"/>
      <c r="H49" s="209"/>
      <c r="I49" s="209"/>
      <c r="J49" s="209"/>
      <c r="K49" s="209"/>
      <c r="L49" s="209"/>
      <c r="M49" s="209"/>
      <c r="N49" s="209"/>
      <c r="O49" s="194">
        <f>SUM(C49:N49)</f>
      </c>
      <c r="P49" s="196">
        <f>O49/$O$16</f>
      </c>
      <c r="Q49" s="195" t="str">
        <v>线下门店</v>
      </c>
      <c r="R49" s="57"/>
      <c r="S49" s="57"/>
      <c r="T49" s="57"/>
    </row>
    <row r="50">
      <c r="A50" s="194"/>
      <c r="B50" s="195" t="str">
        <v>门店人工</v>
      </c>
      <c r="C50" s="209"/>
      <c r="D50" s="209"/>
      <c r="E50" s="209"/>
      <c r="F50" s="209"/>
      <c r="G50" s="209"/>
      <c r="H50" s="209"/>
      <c r="I50" s="209"/>
      <c r="J50" s="209"/>
      <c r="K50" s="209"/>
      <c r="L50" s="209"/>
      <c r="M50" s="209"/>
      <c r="N50" s="209"/>
      <c r="O50" s="194">
        <f>SUM(C50:N50)</f>
      </c>
      <c r="P50" s="196">
        <f>O50/$O$16</f>
      </c>
      <c r="Q50" s="195" t="str">
        <v>线下门店</v>
      </c>
      <c r="R50" s="57"/>
      <c r="S50" s="57"/>
      <c r="T50" s="57"/>
    </row>
    <row r="51">
      <c r="A51" s="57"/>
      <c r="B51" s="195" t="str">
        <v>门店展陈装修等其他</v>
      </c>
      <c r="C51" s="209"/>
      <c r="D51" s="209"/>
      <c r="E51" s="209"/>
      <c r="F51" s="209"/>
      <c r="G51" s="209"/>
      <c r="H51" s="209"/>
      <c r="I51" s="209"/>
      <c r="J51" s="209"/>
      <c r="K51" s="209"/>
      <c r="L51" s="209"/>
      <c r="M51" s="209"/>
      <c r="N51" s="209"/>
      <c r="O51" s="194">
        <f>SUM(C51:N51)</f>
      </c>
      <c r="P51" s="196">
        <f>O51/$O$16</f>
      </c>
      <c r="Q51" s="195" t="str">
        <v>线下门店</v>
      </c>
      <c r="R51" s="57"/>
      <c r="S51" s="57"/>
      <c r="T51" s="57"/>
    </row>
    <row r="52">
      <c r="A52" s="57"/>
      <c r="B52" s="217" t="str">
        <v>市场投入费用</v>
      </c>
      <c r="C52" s="215">
        <f>SUM(C26,C37,C44,C47)</f>
      </c>
      <c r="D52" s="215">
        <f>SUM(D26,D37,D44,D47)</f>
      </c>
      <c r="E52" s="215">
        <f>SUM(E26,E37,E44,E47)</f>
      </c>
      <c r="F52" s="215">
        <f>SUM(F26,F37,F44,F47)</f>
      </c>
      <c r="G52" s="215">
        <f>SUM(G26,G37,G44,G47)</f>
      </c>
      <c r="H52" s="215">
        <f>SUM(H26,H37,H44,H47)</f>
      </c>
      <c r="I52" s="215">
        <f>SUM(I26,I37,I44,I47)</f>
      </c>
      <c r="J52" s="215">
        <f>SUM(J26,J37,J44,J47)</f>
      </c>
      <c r="K52" s="215">
        <f>SUM(K26,K37,K44,K47)</f>
      </c>
      <c r="L52" s="215">
        <f>SUM(L26,L37,L44,L47)</f>
      </c>
      <c r="M52" s="215">
        <f>SUM(M26,M37,M44,M47)</f>
      </c>
      <c r="N52" s="215">
        <f>SUM(N26,N37,N44,N47)</f>
      </c>
      <c r="O52" s="215">
        <f>SUM(C52:N52)</f>
      </c>
      <c r="P52" s="216">
        <f>O52/$O$16</f>
      </c>
      <c r="Q52" s="22"/>
      <c r="R52" s="57"/>
      <c r="S52" s="57"/>
      <c r="T52" s="57"/>
    </row>
    <row r="53">
      <c r="A53" s="194"/>
      <c r="B53" s="195" t="str">
        <v>平台佣金</v>
      </c>
      <c r="C53" s="209">
        <f>C16*$P$53</f>
      </c>
      <c r="D53" s="209">
        <f>D16*$P$53</f>
      </c>
      <c r="E53" s="209">
        <f>E16*$P$53</f>
      </c>
      <c r="F53" s="209">
        <f>F16*$P$53</f>
      </c>
      <c r="G53" s="209">
        <f>G16*$P$53</f>
      </c>
      <c r="H53" s="209">
        <f>H16*$P$53</f>
      </c>
      <c r="I53" s="209">
        <f>I16*$P$53</f>
      </c>
      <c r="J53" s="209">
        <f>J16*$P$53</f>
      </c>
      <c r="K53" s="209">
        <f>K16*$P$53</f>
      </c>
      <c r="L53" s="209">
        <f>L16*$P$53</f>
      </c>
      <c r="M53" s="209">
        <f>M16*$P$53</f>
      </c>
      <c r="N53" s="209">
        <f>N16*$P$53</f>
      </c>
      <c r="O53" s="194">
        <f>SUM(C53:N53)</f>
      </c>
      <c r="P53" s="196">
        <v>0.025</v>
      </c>
      <c r="Q53" s="22"/>
      <c r="R53" s="57"/>
      <c r="S53" s="57"/>
      <c r="T53" s="57"/>
    </row>
    <row r="54">
      <c r="A54" s="194"/>
      <c r="B54" s="195" t="str">
        <v>平台其他费用</v>
      </c>
      <c r="C54" s="209">
        <f>C16*$P$54</f>
      </c>
      <c r="D54" s="209">
        <f>D16*$P$54</f>
      </c>
      <c r="E54" s="209">
        <f>E16*$P$54</f>
      </c>
      <c r="F54" s="209">
        <f>F16*$P$54</f>
      </c>
      <c r="G54" s="209">
        <f>G16*$P$54</f>
      </c>
      <c r="H54" s="209">
        <f>H16*$P$54</f>
      </c>
      <c r="I54" s="209">
        <f>I16*$P$54</f>
      </c>
      <c r="J54" s="209">
        <f>J16*$P$54</f>
      </c>
      <c r="K54" s="209">
        <f>K16*$P$54</f>
      </c>
      <c r="L54" s="209">
        <f>L16*$P$54</f>
      </c>
      <c r="M54" s="209">
        <f>M16*$P$54</f>
      </c>
      <c r="N54" s="209">
        <f>N16*$P$54</f>
      </c>
      <c r="O54" s="194">
        <f>SUM(C54:N54)</f>
      </c>
      <c r="P54" s="196">
        <v>0.014</v>
      </c>
      <c r="Q54" s="22"/>
      <c r="R54" s="57"/>
      <c r="S54" s="57"/>
      <c r="T54" s="57"/>
    </row>
    <row r="55">
      <c r="A55" s="194"/>
      <c r="B55" s="195" t="str">
        <v>售后费用</v>
      </c>
      <c r="C55" s="209">
        <v>142690.8967486485</v>
      </c>
      <c r="D55" s="209">
        <v>93307.18701060889</v>
      </c>
      <c r="E55" s="209">
        <v>72778.87925988334</v>
      </c>
      <c r="F55" s="209">
        <v>112002.56431771404</v>
      </c>
      <c r="G55" s="209">
        <v>96187.48698525214</v>
      </c>
      <c r="H55" s="209">
        <v>67385.97286936018</v>
      </c>
      <c r="I55" s="209">
        <v>93887.32573665772</v>
      </c>
      <c r="J55" s="209">
        <v>72636.19119933844</v>
      </c>
      <c r="K55" s="209">
        <v>100088.07749788532</v>
      </c>
      <c r="L55" s="209">
        <v>79002.18559386152</v>
      </c>
      <c r="M55" s="209">
        <v>69196.68638353466</v>
      </c>
      <c r="N55" s="209">
        <v>67513.60203851771</v>
      </c>
      <c r="O55" s="194"/>
      <c r="P55" s="196">
        <v>0.03</v>
      </c>
      <c r="Q55" s="22"/>
      <c r="R55" s="57"/>
      <c r="S55" s="57"/>
      <c r="T55" s="57"/>
    </row>
    <row r="56">
      <c r="A56" s="194"/>
      <c r="B56" s="195" t="str">
        <v>短信及店铺软件</v>
      </c>
      <c r="C56" s="209">
        <f>C16*$P$56</f>
      </c>
      <c r="D56" s="209">
        <f>D16*$P$56</f>
      </c>
      <c r="E56" s="209">
        <f>E16*$P$56</f>
      </c>
      <c r="F56" s="209">
        <f>F16*$P$56</f>
      </c>
      <c r="G56" s="209">
        <f>G16*$P$56</f>
      </c>
      <c r="H56" s="209">
        <f>H16*$P$56</f>
      </c>
      <c r="I56" s="209">
        <f>I16*$P$56</f>
      </c>
      <c r="J56" s="209">
        <f>J16*$P$56</f>
      </c>
      <c r="K56" s="209">
        <f>K16*$P$56</f>
      </c>
      <c r="L56" s="209">
        <f>L16*$P$56</f>
      </c>
      <c r="M56" s="209">
        <f>M16*$P$56</f>
      </c>
      <c r="N56" s="209">
        <f>N16*$P$56</f>
      </c>
      <c r="O56" s="194">
        <f>SUM(C56:N56)</f>
      </c>
      <c r="P56" s="196"/>
      <c r="Q56" s="22"/>
      <c r="R56" s="57"/>
      <c r="S56" s="57"/>
      <c r="T56" s="57"/>
    </row>
    <row r="57">
      <c r="A57" s="194"/>
      <c r="B57" s="195" t="str">
        <v>其他运营费用（咨询调研等）</v>
      </c>
      <c r="C57" s="209">
        <v>16883.18059367268</v>
      </c>
      <c r="E57" s="209"/>
      <c r="F57" s="209"/>
      <c r="G57" s="209">
        <v>6753.272237469073</v>
      </c>
      <c r="H57" s="209"/>
      <c r="I57" s="209"/>
      <c r="J57" s="209"/>
      <c r="K57" s="209"/>
      <c r="L57" s="209">
        <v>6753.272237469073</v>
      </c>
      <c r="M57" s="209"/>
      <c r="N57" s="209">
        <v>20259.816712407217</v>
      </c>
      <c r="O57" s="194">
        <f>SUM(C57:N57)</f>
      </c>
      <c r="P57" s="196">
        <f>O57/$O$16</f>
      </c>
      <c r="Q57" s="195"/>
      <c r="R57" s="57"/>
      <c r="S57" s="57"/>
      <c r="T57" s="57"/>
    </row>
    <row r="58">
      <c r="A58" s="57"/>
      <c r="B58" s="217" t="str">
        <v>店铺运营费用</v>
      </c>
      <c r="C58" s="215">
        <f>SUM(C53:C57)</f>
      </c>
      <c r="D58" s="215">
        <f>SUM(D53:D57)</f>
      </c>
      <c r="E58" s="215">
        <f>SUM(E53:E57)</f>
      </c>
      <c r="F58" s="215">
        <f>SUM(F53:F57)</f>
      </c>
      <c r="G58" s="215">
        <f>SUM(G53:G57)</f>
      </c>
      <c r="H58" s="215">
        <f>SUM(H53:H57)</f>
      </c>
      <c r="I58" s="215">
        <f>SUM(I53:I57)</f>
      </c>
      <c r="J58" s="215">
        <f>SUM(J53:J57)</f>
      </c>
      <c r="K58" s="215">
        <f>SUM(K53:K57)</f>
      </c>
      <c r="L58" s="215">
        <f>SUM(L53:L57)</f>
      </c>
      <c r="M58" s="215">
        <f>SUM(M53:M57)</f>
      </c>
      <c r="N58" s="215">
        <f>SUM(N53:N57)</f>
      </c>
      <c r="O58" s="215">
        <f>SUM(C58:N58)</f>
      </c>
      <c r="P58" s="216">
        <f>O58/$O$16</f>
      </c>
      <c r="Q58" s="22"/>
      <c r="R58" s="57"/>
      <c r="S58" s="57"/>
      <c r="T58" s="57"/>
    </row>
    <row r="59">
      <c r="A59" s="201"/>
      <c r="B59" s="202" t="str">
        <v>A&amp;P 合计数</v>
      </c>
      <c r="C59" s="200">
        <f>SUM(C52,C58)</f>
      </c>
      <c r="D59" s="200">
        <f>SUM(D52,D58)</f>
      </c>
      <c r="E59" s="200">
        <f>SUM(E52,E58)</f>
      </c>
      <c r="F59" s="200">
        <f>SUM(F52,F58)</f>
      </c>
      <c r="G59" s="200">
        <f>SUM(G52,G58)</f>
      </c>
      <c r="H59" s="200">
        <f>SUM(H52,H58)</f>
      </c>
      <c r="I59" s="200">
        <f>SUM(I52,I58)</f>
      </c>
      <c r="J59" s="200">
        <f>SUM(J52,J58)</f>
      </c>
      <c r="K59" s="200">
        <f>SUM(K52,K58)</f>
      </c>
      <c r="L59" s="200">
        <f>SUM(L52,L58)</f>
      </c>
      <c r="M59" s="200">
        <f>SUM(M52,M58)</f>
      </c>
      <c r="N59" s="200">
        <f>SUM(N52,N58)</f>
      </c>
      <c r="O59" s="200">
        <f>SUM(C59:N59)</f>
      </c>
      <c r="P59" s="213">
        <f>O59/$O$16</f>
      </c>
      <c r="Q59" s="212"/>
      <c r="R59" s="211"/>
      <c r="S59" s="57"/>
      <c r="T59" s="57"/>
    </row>
    <row r="60">
      <c r="A60" s="201"/>
      <c r="B60" s="202" t="str">
        <v>店铺利润</v>
      </c>
      <c r="C60" s="200">
        <f>C22-C59</f>
      </c>
      <c r="D60" s="200">
        <f>D22-D59</f>
      </c>
      <c r="E60" s="200">
        <f>E22-E59</f>
      </c>
      <c r="F60" s="200">
        <f>F22-F59</f>
      </c>
      <c r="G60" s="200">
        <f>G22-G59</f>
      </c>
      <c r="H60" s="200">
        <f>H22-H59</f>
      </c>
      <c r="I60" s="200">
        <f>I22-I59</f>
      </c>
      <c r="J60" s="200">
        <f>J22-J59</f>
      </c>
      <c r="K60" s="200">
        <f>K22-K59</f>
      </c>
      <c r="L60" s="200">
        <f>L22-L59</f>
      </c>
      <c r="M60" s="200">
        <f>M22-M59</f>
      </c>
      <c r="N60" s="200">
        <f>N22-N59</f>
      </c>
      <c r="O60" s="200">
        <f>SUM(C60:N60)</f>
      </c>
      <c r="P60" s="213">
        <f>O60/$O$16</f>
      </c>
      <c r="Q60" s="212"/>
      <c r="R60" s="214"/>
      <c r="S60" s="57"/>
      <c r="T60" s="57"/>
    </row>
    <row r="6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22"/>
      <c r="R61" s="57"/>
      <c r="S61" s="57"/>
      <c r="T61" s="57"/>
    </row>
    <row r="62">
      <c r="A62" s="57"/>
      <c r="B62" s="179" t="str">
        <v>辅助计算</v>
      </c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210"/>
      <c r="P62" s="57"/>
      <c r="Q62" s="22"/>
      <c r="R62" s="57"/>
      <c r="S62" s="57"/>
      <c r="T62" s="57"/>
    </row>
    <row r="63">
      <c r="A63" s="57"/>
      <c r="B63" s="181" t="str">
        <v>国补后价格(销量加权)</v>
      </c>
      <c r="C63" s="181">
        <v>366.6</v>
      </c>
      <c r="D63" s="181">
        <v>362.6</v>
      </c>
      <c r="E63" s="181">
        <v>362.8</v>
      </c>
      <c r="F63" s="181">
        <v>357</v>
      </c>
      <c r="G63" s="181">
        <v>376.4</v>
      </c>
      <c r="H63" s="181">
        <v>376.1</v>
      </c>
      <c r="I63" s="181">
        <v>401.9</v>
      </c>
      <c r="J63" s="181">
        <v>400.9</v>
      </c>
      <c r="K63" s="181">
        <v>401.8</v>
      </c>
      <c r="L63" s="181">
        <v>398.6</v>
      </c>
      <c r="M63" s="181">
        <v>397.7</v>
      </c>
      <c r="N63" s="181">
        <v>392.4</v>
      </c>
      <c r="O63" s="57"/>
      <c r="P63" s="57"/>
      <c r="Q63" s="22"/>
      <c r="R63" s="57"/>
      <c r="S63" s="57"/>
      <c r="T63" s="57"/>
    </row>
    <row r="64">
      <c r="A64" s="57"/>
      <c r="B64" s="181" t="str">
        <v>成本不含税（销量加权）</v>
      </c>
      <c r="C64" s="181">
        <v>158.8</v>
      </c>
      <c r="D64" s="181">
        <v>156.4</v>
      </c>
      <c r="E64" s="181">
        <v>165.1</v>
      </c>
      <c r="F64" s="181">
        <v>162.9</v>
      </c>
      <c r="G64" s="181">
        <v>153</v>
      </c>
      <c r="H64" s="181">
        <v>155.3</v>
      </c>
      <c r="I64" s="181">
        <v>153.3</v>
      </c>
      <c r="J64" s="181">
        <v>152.5</v>
      </c>
      <c r="K64" s="181">
        <v>150.2</v>
      </c>
      <c r="L64" s="181">
        <v>146.6</v>
      </c>
      <c r="M64" s="181">
        <v>142.9</v>
      </c>
      <c r="N64" s="181">
        <v>139.6</v>
      </c>
      <c r="O64" s="57"/>
      <c r="P64" s="57"/>
      <c r="Q64" s="22"/>
      <c r="R64" s="57"/>
      <c r="S64" s="57"/>
      <c r="T64" s="57"/>
    </row>
    <row r="65">
      <c r="A65" s="57"/>
      <c r="B65" s="179" t="str">
        <v>退后销量</v>
      </c>
      <c r="C65" s="178">
        <f>C8/C63</f>
      </c>
      <c r="D65" s="178">
        <f>D8/D63</f>
      </c>
      <c r="E65" s="178">
        <f>E8/E63</f>
      </c>
      <c r="F65" s="178">
        <f>F8/F63</f>
      </c>
      <c r="G65" s="178">
        <f>G8/G63</f>
      </c>
      <c r="H65" s="178">
        <f>H8/H63</f>
      </c>
      <c r="I65" s="178">
        <f>I8/I63</f>
      </c>
      <c r="J65" s="178">
        <f>J8/J63</f>
      </c>
      <c r="K65" s="178">
        <f>K8/K63</f>
      </c>
      <c r="L65" s="178">
        <f>L8/L63</f>
      </c>
      <c r="M65" s="178">
        <f>M8/M63</f>
      </c>
      <c r="N65" s="178">
        <f>N8/N63</f>
      </c>
      <c r="O65" s="57"/>
      <c r="P65" s="57"/>
      <c r="Q65" s="22"/>
      <c r="R65" s="57"/>
      <c r="S65" s="57"/>
      <c r="T65" s="57"/>
    </row>
    <row r="66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22"/>
      <c r="R66" s="57"/>
      <c r="S66" s="57"/>
      <c r="T66" s="57"/>
    </row>
    <row r="67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22"/>
      <c r="R67" s="57"/>
      <c r="S67" s="57"/>
      <c r="T67" s="57"/>
    </row>
    <row r="68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22"/>
      <c r="R68" s="57"/>
      <c r="S68" s="57"/>
      <c r="T68" s="57"/>
    </row>
    <row r="69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22"/>
      <c r="R69" s="57"/>
      <c r="S69" s="57"/>
      <c r="T69" s="57"/>
    </row>
    <row r="70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22"/>
      <c r="R70" s="57"/>
      <c r="S70" s="57"/>
      <c r="T70" s="57"/>
    </row>
    <row r="7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22"/>
      <c r="R71" s="57"/>
      <c r="S71" s="57"/>
      <c r="T71" s="57"/>
    </row>
    <row r="72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22"/>
      <c r="R72" s="57"/>
      <c r="S72" s="57"/>
      <c r="T72" s="57"/>
    </row>
    <row r="73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22"/>
      <c r="R73" s="57"/>
      <c r="S73" s="57"/>
      <c r="T73" s="57"/>
    </row>
    <row r="74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22"/>
      <c r="R74" s="57"/>
      <c r="S74" s="57"/>
      <c r="T74" s="57"/>
    </row>
    <row r="75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22"/>
      <c r="R75" s="57"/>
      <c r="S75" s="57"/>
      <c r="T75" s="57"/>
    </row>
    <row r="76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22"/>
      <c r="R76" s="57"/>
      <c r="S76" s="57"/>
      <c r="T76" s="57"/>
    </row>
    <row r="77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22"/>
      <c r="R77" s="57"/>
      <c r="S77" s="57"/>
      <c r="T77" s="57"/>
    </row>
    <row r="78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22"/>
      <c r="R78" s="57"/>
      <c r="S78" s="57"/>
      <c r="T78" s="57"/>
    </row>
    <row r="79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22"/>
      <c r="R79" s="57"/>
      <c r="S79" s="57"/>
      <c r="T79" s="57"/>
    </row>
    <row r="80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22"/>
      <c r="R80" s="57"/>
      <c r="S80" s="57"/>
      <c r="T80" s="57"/>
    </row>
    <row r="81">
      <c r="A81" s="57"/>
      <c r="B81" s="57"/>
      <c r="C81" s="210">
        <f>C16-C18-C20-C26-C37-C44-C47-C58-C60</f>
      </c>
      <c r="D81" s="210">
        <f>D16-D18-D20-D26-D37-D44-D47-D58-D60</f>
      </c>
      <c r="E81" s="210">
        <f>E16-E18-E20-E26-E37-E44-E47-E58-E60</f>
      </c>
      <c r="F81" s="210">
        <f>F16-F18-F20-F26-F37-F44-F47-F58-F60</f>
      </c>
      <c r="G81" s="210">
        <f>G16-G18-G20-G26-G37-G44-G47-G58-G60</f>
      </c>
      <c r="H81" s="210">
        <f>H16-H18-H20-H26-H37-H44-H47-H58-H60</f>
      </c>
      <c r="I81" s="210">
        <f>I16-I18-I20-I26-I37-I44-I47-I58-I60</f>
      </c>
      <c r="J81" s="210">
        <f>J16-J18-J20-J26-J37-J44-J47-J58-J60</f>
      </c>
      <c r="K81" s="210">
        <f>K16-K18-K20-K26-K37-K44-K47-K58-K60</f>
      </c>
      <c r="L81" s="210">
        <f>L16-L18-L20-L26-L37-L44-L47-L58-L60</f>
      </c>
      <c r="M81" s="210">
        <f>M16-M18-M20-M26-M37-M44-M47-M58-M60</f>
      </c>
      <c r="N81" s="210">
        <f>N16-N18-N20-N26-N37-N44-N47-N58-N60</f>
      </c>
      <c r="O81" s="210">
        <f>O16-O18-O20-O26-O37-O44-O47-O58-O60</f>
      </c>
      <c r="P81" s="57"/>
      <c r="Q81" s="22"/>
      <c r="R81" s="57"/>
      <c r="S81" s="57"/>
      <c r="T81" s="57"/>
    </row>
    <row r="82">
      <c r="A82" s="57"/>
      <c r="B82" s="57"/>
      <c r="C82" s="119">
        <f>C10-C11-C12-C13-C15</f>
      </c>
      <c r="D82" s="119">
        <f>D10-D11-D12-D13-D15</f>
      </c>
      <c r="E82" s="119">
        <f>E10-E11-E12-E13-E15</f>
      </c>
      <c r="F82" s="119">
        <f>F10-F11-F12-F13-F15</f>
      </c>
      <c r="G82" s="119">
        <f>G10-G11-G12-G13-G15</f>
      </c>
      <c r="H82" s="119">
        <f>H10-H11-H12-H13-H15</f>
      </c>
      <c r="I82" s="119">
        <f>I10-I11-I12-I13-I15</f>
      </c>
      <c r="J82" s="119">
        <f>J10-J11-J12-J13-J15</f>
      </c>
      <c r="K82" s="119">
        <f>K10-K11-K12-K13-K15</f>
      </c>
      <c r="L82" s="119">
        <f>L10-L11-L12-L13-L15</f>
      </c>
      <c r="M82" s="119">
        <f>M10-M11-M12-M13-M15</f>
      </c>
      <c r="N82" s="119">
        <f>N10-N11-N12-N13-N15</f>
      </c>
      <c r="O82" s="119">
        <f>O10-O11-O12-O13-O15</f>
      </c>
      <c r="P82" s="57"/>
      <c r="Q82" s="22"/>
      <c r="R82" s="57"/>
      <c r="S82" s="57"/>
      <c r="T82" s="57"/>
    </row>
    <row r="83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22"/>
      <c r="R83" s="57"/>
      <c r="S83" s="57"/>
      <c r="T83" s="57"/>
    </row>
    <row r="84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22"/>
      <c r="R84" s="57"/>
      <c r="S84" s="57"/>
      <c r="T84" s="57"/>
    </row>
    <row r="85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22"/>
      <c r="R85" s="57"/>
      <c r="S85" s="57"/>
      <c r="T85" s="57"/>
    </row>
    <row r="86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22"/>
      <c r="R86" s="57"/>
      <c r="S86" s="57"/>
      <c r="T86" s="57"/>
    </row>
    <row r="87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22"/>
      <c r="R87" s="57"/>
      <c r="S87" s="57"/>
      <c r="T87" s="57"/>
    </row>
    <row r="88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22"/>
      <c r="R88" s="57"/>
      <c r="S88" s="57"/>
      <c r="T88" s="57"/>
    </row>
    <row r="89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22"/>
      <c r="R89" s="57"/>
      <c r="S89" s="57"/>
      <c r="T89" s="57"/>
    </row>
    <row r="90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22"/>
      <c r="R90" s="57"/>
      <c r="S90" s="57"/>
      <c r="T90" s="57"/>
    </row>
    <row r="9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22"/>
      <c r="R91" s="57"/>
      <c r="S91" s="57"/>
      <c r="T91" s="57"/>
    </row>
    <row r="92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22"/>
      <c r="R92" s="57"/>
      <c r="S92" s="57"/>
      <c r="T92" s="57"/>
    </row>
    <row r="93">
      <c r="A93" s="57"/>
      <c r="B93" s="1" t="str">
        <v>分摊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57"/>
      <c r="P93" s="57"/>
      <c r="Q93" s="22"/>
      <c r="R93" s="57"/>
      <c r="S93" s="57"/>
      <c r="T93" s="57"/>
    </row>
    <row r="94">
      <c r="A94" s="57"/>
      <c r="B94" s="85" t="str">
        <v>品牌及内容费用</v>
      </c>
      <c r="C94" s="127">
        <f>SUM(C95:C99)</f>
      </c>
      <c r="D94" s="127">
        <f>SUM(D95:D99)</f>
      </c>
      <c r="E94" s="127">
        <f>SUM(E95:E99)</f>
      </c>
      <c r="F94" s="127">
        <f>SUM(F95:F99)</f>
      </c>
      <c r="G94" s="127">
        <f>SUM(G95:G99)</f>
      </c>
      <c r="H94" s="127">
        <f>SUM(H95:H99)</f>
      </c>
      <c r="I94" s="127">
        <f>SUM(I95:I99)</f>
      </c>
      <c r="J94" s="127">
        <f>SUM(J95:J99)</f>
      </c>
      <c r="K94" s="127">
        <f>SUM(K95:K99)</f>
      </c>
      <c r="L94" s="127">
        <f>SUM(L95:L99)</f>
      </c>
      <c r="M94" s="127">
        <f>SUM(M95:M99)</f>
      </c>
      <c r="N94" s="127">
        <f>SUM(N95:N99)</f>
      </c>
      <c r="O94" s="57"/>
      <c r="P94" s="57"/>
      <c r="Q94" s="22"/>
      <c r="R94" s="57"/>
      <c r="S94" s="57"/>
      <c r="T94" s="57"/>
    </row>
    <row r="95">
      <c r="A95" s="57"/>
      <c r="B95" s="90" t="str">
        <v>展会</v>
      </c>
      <c r="C95" s="170">
        <f>'线下门店-小计'!C27*(C15/('26年全渠道汇总'!C15-'线下门店-小计'!C15))</f>
      </c>
      <c r="D95" s="170">
        <f>'线下门店-小计'!D27*(D15/('26年全渠道汇总'!D15-'线下门店-小计'!D15))</f>
      </c>
      <c r="E95" s="170">
        <f>'线下门店-小计'!E27*(E15/('26年全渠道汇总'!E15-'线下门店-小计'!E15))</f>
      </c>
      <c r="F95" s="170">
        <f>'线下门店-小计'!F27*(F15/('26年全渠道汇总'!F15-'线下门店-小计'!F15))</f>
      </c>
      <c r="G95" s="170">
        <f>'线下门店-小计'!G27*(G15/('26年全渠道汇总'!G15-'线下门店-小计'!G15))</f>
      </c>
      <c r="H95" s="170">
        <f>'线下门店-小计'!H27*(H15/('26年全渠道汇总'!H15-'线下门店-小计'!H15))</f>
      </c>
      <c r="I95" s="170">
        <f>'线下门店-小计'!I27*(I15/('26年全渠道汇总'!I15-'线下门店-小计'!I15))</f>
      </c>
      <c r="J95" s="170">
        <f>'线下门店-小计'!J27*(J15/('26年全渠道汇总'!J15-'线下门店-小计'!J15))</f>
      </c>
      <c r="K95" s="170">
        <f>'线下门店-小计'!K27*(K15/('26年全渠道汇总'!K15-'线下门店-小计'!K15))</f>
      </c>
      <c r="L95" s="170">
        <f>'线下门店-小计'!L27*(L15/('26年全渠道汇总'!L15-'线下门店-小计'!L15))</f>
      </c>
      <c r="M95" s="170">
        <f>'线下门店-小计'!M27*(M15/('26年全渠道汇总'!M15-'线下门店-小计'!M15))</f>
      </c>
      <c r="N95" s="170">
        <f>'线下门店-小计'!N27*(N15/('26年全渠道汇总'!N15-'线下门店-小计'!N15))</f>
      </c>
      <c r="O95" s="57"/>
      <c r="P95" s="57"/>
      <c r="Q95" s="22"/>
      <c r="R95" s="57"/>
      <c r="S95" s="57"/>
      <c r="T95" s="57"/>
    </row>
    <row r="96">
      <c r="A96" s="57"/>
      <c r="B96" s="90" t="str">
        <v>品牌营销</v>
      </c>
      <c r="C96" s="170">
        <f>'线下门店-小计'!C28*(C15/('26年全渠道汇总'!C15-'线下门店-小计'!C15))</f>
      </c>
      <c r="D96" s="170">
        <f>'线下门店-小计'!D28*(D15/('26年全渠道汇总'!D15-'线下门店-小计'!D15))</f>
      </c>
      <c r="E96" s="170">
        <f>'线下门店-小计'!E28*(E15/('26年全渠道汇总'!E15-'线下门店-小计'!E15))</f>
      </c>
      <c r="F96" s="170">
        <f>'线下门店-小计'!F28*(F15/('26年全渠道汇总'!F15-'线下门店-小计'!F15))</f>
      </c>
      <c r="G96" s="170">
        <f>'线下门店-小计'!G28*(G15/('26年全渠道汇总'!G15-'线下门店-小计'!G15))</f>
      </c>
      <c r="H96" s="170">
        <f>'线下门店-小计'!H28*(H15/('26年全渠道汇总'!H15-'线下门店-小计'!H15))</f>
      </c>
      <c r="I96" s="170">
        <f>'线下门店-小计'!I28*(I15/('26年全渠道汇总'!I15-'线下门店-小计'!I15))</f>
      </c>
      <c r="J96" s="170">
        <f>'线下门店-小计'!J28*(J15/('26年全渠道汇总'!J15-'线下门店-小计'!J15))</f>
      </c>
      <c r="K96" s="170">
        <f>'线下门店-小计'!K28*(K15/('26年全渠道汇总'!K15-'线下门店-小计'!K15))</f>
      </c>
      <c r="L96" s="170">
        <f>'线下门店-小计'!L28*(L15/('26年全渠道汇总'!L15-'线下门店-小计'!L15))</f>
      </c>
      <c r="M96" s="170">
        <f>'线下门店-小计'!M28*(M15/('26年全渠道汇总'!M15-'线下门店-小计'!M15))</f>
      </c>
      <c r="N96" s="170">
        <f>'线下门店-小计'!N28*(N15/('26年全渠道汇总'!N15-'线下门店-小计'!N15))</f>
      </c>
      <c r="O96" s="57"/>
      <c r="P96" s="57"/>
      <c r="Q96" s="22"/>
      <c r="R96" s="57"/>
      <c r="S96" s="57"/>
      <c r="T96" s="57"/>
    </row>
    <row r="97">
      <c r="A97" s="57"/>
      <c r="B97" s="90" t="str">
        <v>内容素材制作</v>
      </c>
      <c r="C97" s="170">
        <f>'线下门店-小计'!C29*(C15/('26年全渠道汇总'!C15-'线下门店-小计'!C15))</f>
      </c>
      <c r="D97" s="170">
        <f>'线下门店-小计'!D29*(D15/('26年全渠道汇总'!D15-'线下门店-小计'!D15))</f>
      </c>
      <c r="E97" s="170">
        <f>'线下门店-小计'!E29*(E15/('26年全渠道汇总'!E15-'线下门店-小计'!E15))</f>
      </c>
      <c r="F97" s="170">
        <f>'线下门店-小计'!F29*(F15/('26年全渠道汇总'!F15-'线下门店-小计'!F15))</f>
      </c>
      <c r="G97" s="170">
        <f>'线下门店-小计'!G29*(G15/('26年全渠道汇总'!G15-'线下门店-小计'!G15))</f>
      </c>
      <c r="H97" s="170">
        <f>'线下门店-小计'!H29*(H15/('26年全渠道汇总'!H15-'线下门店-小计'!H15))</f>
      </c>
      <c r="I97" s="170">
        <f>'线下门店-小计'!I29*(I15/('26年全渠道汇总'!I15-'线下门店-小计'!I15))</f>
      </c>
      <c r="J97" s="170">
        <f>'线下门店-小计'!J29*(J15/('26年全渠道汇总'!J15-'线下门店-小计'!J15))</f>
      </c>
      <c r="K97" s="170">
        <f>'线下门店-小计'!K29*(K15/('26年全渠道汇总'!K15-'线下门店-小计'!K15))</f>
      </c>
      <c r="L97" s="170">
        <f>'线下门店-小计'!L29*(L15/('26年全渠道汇总'!L15-'线下门店-小计'!L15))</f>
      </c>
      <c r="M97" s="170">
        <f>'线下门店-小计'!M29*(M15/('26年全渠道汇总'!M15-'线下门店-小计'!M15))</f>
      </c>
      <c r="N97" s="170">
        <f>'线下门店-小计'!N29*(N15/('26年全渠道汇总'!N15-'线下门店-小计'!N15))</f>
      </c>
      <c r="O97" s="57"/>
      <c r="P97" s="57"/>
      <c r="Q97" s="22"/>
      <c r="R97" s="57"/>
      <c r="S97" s="57"/>
      <c r="T97" s="57"/>
    </row>
    <row r="98">
      <c r="A98" s="57"/>
      <c r="B98" s="90" t="str">
        <v>公关费用</v>
      </c>
      <c r="C98" s="170">
        <f>'线下门店-小计'!C30*(C15/('26年全渠道汇总'!C15-'线下门店-小计'!C15))</f>
      </c>
      <c r="D98" s="170">
        <f>'线下门店-小计'!D30*(D15/('26年全渠道汇总'!D15-'线下门店-小计'!D15))</f>
      </c>
      <c r="E98" s="170">
        <f>'线下门店-小计'!E30*(E15/('26年全渠道汇总'!E15-'线下门店-小计'!E15))</f>
      </c>
      <c r="F98" s="170">
        <f>'线下门店-小计'!F30*(F15/('26年全渠道汇总'!F15-'线下门店-小计'!F15))</f>
      </c>
      <c r="G98" s="170">
        <f>'线下门店-小计'!G30*(G15/('26年全渠道汇总'!G15-'线下门店-小计'!G15))</f>
      </c>
      <c r="H98" s="170">
        <f>'线下门店-小计'!H30*(H15/('26年全渠道汇总'!H15-'线下门店-小计'!H15))</f>
      </c>
      <c r="I98" s="170">
        <f>'线下门店-小计'!I30*(I15/('26年全渠道汇总'!I15-'线下门店-小计'!I15))</f>
      </c>
      <c r="J98" s="170">
        <f>'线下门店-小计'!J30*(J15/('26年全渠道汇总'!J15-'线下门店-小计'!J15))</f>
      </c>
      <c r="K98" s="170">
        <f>'线下门店-小计'!K30*(K15/('26年全渠道汇总'!K15-'线下门店-小计'!K15))</f>
      </c>
      <c r="L98" s="170">
        <f>'线下门店-小计'!L30*(L15/('26年全渠道汇总'!L15-'线下门店-小计'!L15))</f>
      </c>
      <c r="M98" s="170">
        <f>'线下门店-小计'!M30*(M15/('26年全渠道汇总'!M15-'线下门店-小计'!M15))</f>
      </c>
      <c r="N98" s="170">
        <f>'线下门店-小计'!N30*(N15/('26年全渠道汇总'!N15-'线下门店-小计'!N15))</f>
      </c>
      <c r="O98" s="57"/>
      <c r="P98" s="57"/>
      <c r="Q98" s="22"/>
      <c r="R98" s="57"/>
      <c r="S98" s="57"/>
      <c r="T98" s="57"/>
    </row>
    <row r="99">
      <c r="A99" s="57"/>
      <c r="B99" s="90" t="str">
        <v>达人种草、样机及加热</v>
      </c>
      <c r="C99" s="170">
        <f>'线下门店-小计'!C31*(C15/('26年全渠道汇总'!C15-'线下门店-小计'!C15))</f>
      </c>
      <c r="D99" s="170">
        <f>'线下门店-小计'!D31*(D15/('26年全渠道汇总'!D15-'线下门店-小计'!D15))</f>
      </c>
      <c r="E99" s="170">
        <f>'线下门店-小计'!E31*(E15/('26年全渠道汇总'!E15-'线下门店-小计'!E15))</f>
      </c>
      <c r="F99" s="170">
        <f>'线下门店-小计'!F31*(F15/('26年全渠道汇总'!F15-'线下门店-小计'!F15))</f>
      </c>
      <c r="G99" s="170">
        <f>'线下门店-小计'!G31*(G15/('26年全渠道汇总'!G15-'线下门店-小计'!G15))</f>
      </c>
      <c r="H99" s="170">
        <f>'线下门店-小计'!H31*(H15/('26年全渠道汇总'!H15-'线下门店-小计'!H15))</f>
      </c>
      <c r="I99" s="170">
        <f>'线下门店-小计'!I31*(I15/('26年全渠道汇总'!I15-'线下门店-小计'!I15))</f>
      </c>
      <c r="J99" s="170">
        <f>'线下门店-小计'!J31*(J15/('26年全渠道汇总'!J15-'线下门店-小计'!J15))</f>
      </c>
      <c r="K99" s="170">
        <f>'线下门店-小计'!K31*(K15/('26年全渠道汇总'!K15-'线下门店-小计'!K15))</f>
      </c>
      <c r="L99" s="170">
        <f>'线下门店-小计'!L31*(L15/('26年全渠道汇总'!L15-'线下门店-小计'!L15))</f>
      </c>
      <c r="M99" s="170">
        <f>'线下门店-小计'!M31*(M15/('26年全渠道汇总'!M15-'线下门店-小计'!M15))</f>
      </c>
      <c r="N99" s="170">
        <f>'线下门店-小计'!N31*(N15/('26年全渠道汇总'!N15-'线下门店-小计'!N15))</f>
      </c>
      <c r="O99" s="57"/>
      <c r="P99" s="57"/>
      <c r="Q99" s="22"/>
      <c r="R99" s="57"/>
      <c r="S99" s="57"/>
      <c r="T99" s="57"/>
    </row>
    <row r="100">
      <c r="A100" s="57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57"/>
      <c r="P100" s="57"/>
      <c r="Q100" s="22"/>
      <c r="R100" s="57"/>
      <c r="S100" s="57"/>
      <c r="T100" s="57"/>
    </row>
    <row r="101">
      <c r="A101" s="57"/>
      <c r="B101" s="1" t="str">
        <v>总计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57"/>
      <c r="P101" s="57"/>
      <c r="Q101" s="22"/>
      <c r="R101" s="57"/>
      <c r="S101" s="57"/>
      <c r="T101" s="57"/>
    </row>
    <row r="102">
      <c r="A102" s="57"/>
      <c r="B102" s="85" t="str">
        <v>品牌及内容费用</v>
      </c>
      <c r="C102" s="127">
        <f>SUM(C103:C107)</f>
      </c>
      <c r="D102" s="127">
        <f>SUM(D103:D107)</f>
      </c>
      <c r="E102" s="127">
        <f>SUM(E103:E107)</f>
      </c>
      <c r="F102" s="127">
        <f>SUM(F103:F107)</f>
      </c>
      <c r="G102" s="127">
        <f>SUM(G103:G107)</f>
      </c>
      <c r="H102" s="127">
        <f>SUM(H103:H107)</f>
      </c>
      <c r="I102" s="127">
        <f>SUM(I103:I107)</f>
      </c>
      <c r="J102" s="127">
        <f>SUM(J103:J107)</f>
      </c>
      <c r="K102" s="127">
        <f>SUM(K103:K107)</f>
      </c>
      <c r="L102" s="127">
        <f>SUM(L103:L107)</f>
      </c>
      <c r="M102" s="127">
        <f>SUM(M103:M107)</f>
      </c>
      <c r="N102" s="127">
        <f>SUM(N103:N107)</f>
      </c>
      <c r="O102" s="57"/>
      <c r="P102" s="57"/>
      <c r="Q102" s="22"/>
      <c r="R102" s="57"/>
      <c r="S102" s="57"/>
      <c r="T102" s="57"/>
    </row>
    <row r="103">
      <c r="A103" s="57"/>
      <c r="B103" s="90" t="str">
        <v>展会</v>
      </c>
      <c r="C103" s="170">
        <f>C95+C27</f>
      </c>
      <c r="D103" s="170">
        <f>D95+D27</f>
      </c>
      <c r="E103" s="170">
        <f>E95+E27</f>
      </c>
      <c r="F103" s="170">
        <f>F95+F27</f>
      </c>
      <c r="G103" s="170">
        <f>G95+G27</f>
      </c>
      <c r="H103" s="170">
        <f>H95+H27</f>
      </c>
      <c r="I103" s="170">
        <f>I95+I27</f>
      </c>
      <c r="J103" s="170">
        <f>J95+J27</f>
      </c>
      <c r="K103" s="170">
        <f>K95+K27</f>
      </c>
      <c r="L103" s="170">
        <f>L95+L27</f>
      </c>
      <c r="M103" s="170">
        <f>M95+M27</f>
      </c>
      <c r="N103" s="170">
        <f>N95+N27</f>
      </c>
      <c r="O103" s="57"/>
      <c r="P103" s="57"/>
      <c r="Q103" s="22"/>
      <c r="R103" s="57"/>
      <c r="S103" s="57"/>
      <c r="T103" s="57"/>
    </row>
    <row r="104">
      <c r="A104" s="57"/>
      <c r="B104" s="90" t="str">
        <v>品牌营销</v>
      </c>
      <c r="C104" s="170">
        <f>C96+C28</f>
      </c>
      <c r="D104" s="170">
        <f>D96+D28</f>
      </c>
      <c r="E104" s="170">
        <f>E96+E28</f>
      </c>
      <c r="F104" s="170">
        <f>F96+F28</f>
      </c>
      <c r="G104" s="170">
        <f>G96+G28</f>
      </c>
      <c r="H104" s="170">
        <f>H96+H28</f>
      </c>
      <c r="I104" s="170">
        <f>I96+I28</f>
      </c>
      <c r="J104" s="170">
        <f>J96+J28</f>
      </c>
      <c r="K104" s="170">
        <f>K96+K28</f>
      </c>
      <c r="L104" s="170">
        <f>L96+L28</f>
      </c>
      <c r="M104" s="170">
        <f>M96+M28</f>
      </c>
      <c r="N104" s="170">
        <f>N96+N28</f>
      </c>
      <c r="O104" s="57"/>
      <c r="P104" s="57"/>
      <c r="Q104" s="22"/>
      <c r="R104" s="57"/>
      <c r="S104" s="57"/>
      <c r="T104" s="57"/>
    </row>
    <row r="105">
      <c r="A105" s="57"/>
      <c r="B105" s="90" t="str">
        <v>内容素材制作</v>
      </c>
      <c r="C105" s="170">
        <f>C97+C29</f>
      </c>
      <c r="D105" s="170">
        <f>D97+D29</f>
      </c>
      <c r="E105" s="170">
        <f>E97+E29</f>
      </c>
      <c r="F105" s="170">
        <f>F97+F29</f>
      </c>
      <c r="G105" s="170">
        <f>G97+G29</f>
      </c>
      <c r="H105" s="170">
        <f>H97+H29</f>
      </c>
      <c r="I105" s="170">
        <f>I97+I29</f>
      </c>
      <c r="J105" s="170">
        <f>J97+J29</f>
      </c>
      <c r="K105" s="170">
        <f>K97+K29</f>
      </c>
      <c r="L105" s="170">
        <f>L97+L29</f>
      </c>
      <c r="M105" s="170">
        <f>M97+M29</f>
      </c>
      <c r="N105" s="170">
        <f>N97+N29</f>
      </c>
      <c r="O105" s="57"/>
      <c r="P105" s="57"/>
      <c r="Q105" s="22"/>
      <c r="R105" s="57"/>
      <c r="S105" s="57"/>
      <c r="T105" s="57"/>
    </row>
    <row r="106">
      <c r="A106" s="57"/>
      <c r="B106" s="90" t="str">
        <v>公关费用</v>
      </c>
      <c r="C106" s="170">
        <f>C98+C30</f>
      </c>
      <c r="D106" s="170">
        <f>D98+D30</f>
      </c>
      <c r="E106" s="170">
        <f>E98+E30</f>
      </c>
      <c r="F106" s="170">
        <f>F98+F30</f>
      </c>
      <c r="G106" s="170">
        <f>G98+G30</f>
      </c>
      <c r="H106" s="170">
        <f>H98+H30</f>
      </c>
      <c r="I106" s="170">
        <f>I98+I30</f>
      </c>
      <c r="J106" s="170">
        <f>J98+J30</f>
      </c>
      <c r="K106" s="170">
        <f>K98+K30</f>
      </c>
      <c r="L106" s="170">
        <f>L98+L30</f>
      </c>
      <c r="M106" s="170">
        <f>M98+M30</f>
      </c>
      <c r="N106" s="170">
        <f>N98+N30</f>
      </c>
      <c r="O106" s="57"/>
      <c r="P106" s="57"/>
      <c r="Q106" s="22"/>
      <c r="R106" s="57"/>
      <c r="S106" s="57"/>
      <c r="T106" s="57"/>
    </row>
    <row r="107">
      <c r="A107" s="57"/>
      <c r="B107" s="90" t="str">
        <v>达人种草、样机及加热</v>
      </c>
      <c r="C107" s="170">
        <f>C99+C31</f>
      </c>
      <c r="D107" s="170">
        <f>D99+D31</f>
      </c>
      <c r="E107" s="170">
        <f>E99+E31</f>
      </c>
      <c r="F107" s="170">
        <f>F99+F31</f>
      </c>
      <c r="G107" s="170">
        <f>G99+G31</f>
      </c>
      <c r="H107" s="170">
        <f>H99+H31</f>
      </c>
      <c r="I107" s="170">
        <f>I99+I31</f>
      </c>
      <c r="J107" s="170">
        <f>J99+J31</f>
      </c>
      <c r="K107" s="170">
        <f>K99+K31</f>
      </c>
      <c r="L107" s="170">
        <f>L99+L31</f>
      </c>
      <c r="M107" s="170">
        <f>M99+M31</f>
      </c>
      <c r="N107" s="170">
        <f>N99+N31</f>
      </c>
      <c r="O107" s="57"/>
      <c r="P107" s="57"/>
      <c r="Q107" s="22"/>
      <c r="R107" s="57"/>
      <c r="S107" s="57"/>
      <c r="T107" s="57"/>
    </row>
    <row r="108">
      <c r="A108" s="57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22"/>
      <c r="R108" s="57"/>
      <c r="S108" s="57"/>
      <c r="T108" s="57"/>
    </row>
    <row r="109">
      <c r="A109" s="57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22"/>
      <c r="R109" s="57"/>
      <c r="S109" s="57"/>
      <c r="T109" s="57"/>
    </row>
    <row r="110">
      <c r="A110" s="57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22"/>
      <c r="R110" s="57"/>
      <c r="S110" s="57"/>
      <c r="T110" s="57"/>
    </row>
    <row r="111">
      <c r="A111" s="57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22"/>
      <c r="R111" s="57"/>
      <c r="S111" s="57"/>
      <c r="T111" s="57"/>
    </row>
    <row r="112">
      <c r="A112" s="57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22"/>
      <c r="R112" s="57"/>
      <c r="S112" s="57"/>
      <c r="T112" s="57"/>
    </row>
    <row r="113">
      <c r="A113" s="57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22"/>
      <c r="R113" s="57"/>
      <c r="S113" s="57"/>
      <c r="T113" s="57"/>
    </row>
    <row r="114">
      <c r="A114" s="57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22"/>
      <c r="R114" s="57"/>
      <c r="S114" s="57"/>
      <c r="T114" s="57"/>
    </row>
    <row r="115">
      <c r="A115" s="57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22"/>
      <c r="R115" s="57"/>
      <c r="S115" s="57"/>
      <c r="T115" s="57"/>
    </row>
    <row r="116">
      <c r="A116" s="57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22"/>
      <c r="R116" s="57"/>
      <c r="S116" s="57"/>
      <c r="T116" s="57"/>
    </row>
    <row r="117">
      <c r="A117" s="57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22"/>
      <c r="R117" s="57"/>
      <c r="S117" s="57"/>
      <c r="T117" s="57"/>
    </row>
    <row r="118">
      <c r="A118" s="57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22"/>
      <c r="R118" s="57"/>
      <c r="S118" s="57"/>
      <c r="T118" s="57"/>
    </row>
    <row r="119">
      <c r="A119" s="57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22"/>
      <c r="R119" s="57"/>
      <c r="S119" s="57"/>
      <c r="T119" s="57"/>
    </row>
    <row r="120">
      <c r="A120" s="57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22"/>
      <c r="R120" s="57"/>
      <c r="S120" s="57"/>
      <c r="T120" s="57"/>
    </row>
    <row r="121">
      <c r="A121" s="57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22"/>
      <c r="R121" s="57"/>
      <c r="S121" s="57"/>
      <c r="T121" s="57"/>
    </row>
    <row r="122">
      <c r="A122" s="57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22"/>
      <c r="R122" s="57"/>
      <c r="S122" s="57"/>
      <c r="T122" s="57"/>
    </row>
    <row r="123">
      <c r="A123" s="57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22"/>
      <c r="R123" s="57"/>
      <c r="S123" s="57"/>
      <c r="T123" s="57"/>
    </row>
    <row r="124">
      <c r="A124" s="57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22"/>
      <c r="R124" s="57"/>
      <c r="S124" s="57"/>
      <c r="T124" s="57"/>
    </row>
    <row r="125">
      <c r="A125" s="57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22"/>
      <c r="R125" s="57"/>
      <c r="S125" s="57"/>
      <c r="T125" s="57"/>
    </row>
    <row r="126">
      <c r="A126" s="57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22"/>
      <c r="R126" s="57"/>
      <c r="S126" s="57"/>
      <c r="T126" s="57"/>
    </row>
    <row r="127">
      <c r="A127" s="57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22"/>
      <c r="R127" s="57"/>
      <c r="S127" s="57"/>
      <c r="T127" s="57"/>
    </row>
    <row r="128">
      <c r="A128" s="57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22"/>
      <c r="R128" s="57"/>
      <c r="S128" s="57"/>
      <c r="T128" s="57"/>
    </row>
    <row r="129">
      <c r="A129" s="57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22"/>
      <c r="R129" s="57"/>
      <c r="S129" s="57"/>
      <c r="T129" s="57"/>
    </row>
    <row r="130">
      <c r="A130" s="57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22"/>
      <c r="R130" s="57"/>
      <c r="S130" s="57"/>
      <c r="T130" s="57"/>
    </row>
    <row r="131">
      <c r="A131" s="57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22"/>
      <c r="R131" s="57"/>
      <c r="S131" s="57"/>
      <c r="T131" s="57"/>
    </row>
    <row r="132">
      <c r="A132" s="57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22"/>
      <c r="R132" s="57"/>
      <c r="S132" s="57"/>
      <c r="T132" s="57"/>
    </row>
    <row r="133">
      <c r="A133" s="57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22"/>
      <c r="R133" s="57"/>
      <c r="S133" s="57"/>
      <c r="T133" s="57"/>
    </row>
    <row r="134">
      <c r="A134" s="57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22"/>
      <c r="R134" s="57"/>
      <c r="S134" s="57"/>
      <c r="T134" s="57"/>
    </row>
    <row r="135">
      <c r="A135" s="57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22"/>
      <c r="R135" s="57"/>
      <c r="S135" s="57"/>
      <c r="T135" s="57"/>
    </row>
    <row r="136">
      <c r="A136" s="57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22"/>
      <c r="R136" s="57"/>
      <c r="S136" s="57"/>
      <c r="T136" s="57"/>
    </row>
    <row r="137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22"/>
      <c r="R137" s="57"/>
      <c r="S137" s="57"/>
      <c r="T137" s="57"/>
    </row>
    <row r="138">
      <c r="A138" s="57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22"/>
      <c r="R138" s="57"/>
      <c r="S138" s="57"/>
      <c r="T138" s="57"/>
    </row>
    <row r="139">
      <c r="A139" s="57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22"/>
      <c r="R139" s="57"/>
      <c r="S139" s="57"/>
      <c r="T139" s="57"/>
    </row>
    <row r="140">
      <c r="A140" s="57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22"/>
      <c r="R140" s="57"/>
      <c r="S140" s="57"/>
      <c r="T140" s="57"/>
    </row>
    <row r="141">
      <c r="A141" s="57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22"/>
      <c r="R141" s="57"/>
      <c r="S141" s="57"/>
      <c r="T141" s="57"/>
    </row>
    <row r="142">
      <c r="A142" s="57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22"/>
      <c r="R142" s="57"/>
      <c r="S142" s="57"/>
      <c r="T142" s="57"/>
    </row>
    <row r="143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22"/>
      <c r="R143" s="57"/>
      <c r="S143" s="57"/>
      <c r="T143" s="57"/>
    </row>
    <row r="144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22"/>
      <c r="R144" s="57"/>
      <c r="S144" s="57"/>
      <c r="T144" s="57"/>
    </row>
    <row r="145">
      <c r="A145" s="57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22"/>
      <c r="R145" s="57"/>
      <c r="S145" s="57"/>
      <c r="T145" s="57"/>
    </row>
    <row r="146">
      <c r="A146" s="57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22"/>
      <c r="R146" s="57"/>
      <c r="S146" s="57"/>
      <c r="T146" s="57"/>
    </row>
    <row r="147">
      <c r="A147" s="57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22"/>
      <c r="R147" s="57"/>
      <c r="S147" s="57"/>
      <c r="T147" s="57"/>
    </row>
    <row r="148">
      <c r="A148" s="57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22"/>
      <c r="R148" s="57"/>
      <c r="S148" s="57"/>
      <c r="T148" s="57"/>
    </row>
    <row r="149">
      <c r="A149" s="57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22"/>
      <c r="R149" s="57"/>
      <c r="S149" s="57"/>
      <c r="T149" s="57"/>
    </row>
    <row r="150">
      <c r="A150" s="57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22"/>
      <c r="R150" s="57"/>
      <c r="S150" s="57"/>
      <c r="T150" s="57"/>
    </row>
    <row r="151">
      <c r="A151" s="57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22"/>
      <c r="R151" s="57"/>
      <c r="S151" s="57"/>
      <c r="T151" s="57"/>
    </row>
    <row r="152">
      <c r="A152" s="57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22"/>
      <c r="R152" s="57"/>
      <c r="S152" s="57"/>
      <c r="T152" s="57"/>
    </row>
    <row r="153">
      <c r="A153" s="57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22"/>
      <c r="R153" s="57"/>
      <c r="S153" s="57"/>
      <c r="T153" s="57"/>
    </row>
    <row r="154">
      <c r="A154" s="57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22"/>
      <c r="R154" s="57"/>
      <c r="S154" s="57"/>
      <c r="T154" s="57"/>
    </row>
    <row r="155">
      <c r="A155" s="57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22"/>
      <c r="R155" s="57"/>
      <c r="S155" s="57"/>
      <c r="T155" s="57"/>
    </row>
    <row r="156">
      <c r="A156" s="57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22"/>
      <c r="R156" s="57"/>
      <c r="S156" s="57"/>
      <c r="T156" s="57"/>
    </row>
    <row r="157">
      <c r="A157" s="57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22"/>
      <c r="R157" s="57"/>
      <c r="S157" s="57"/>
      <c r="T157" s="57"/>
    </row>
    <row r="158">
      <c r="A158" s="57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22"/>
      <c r="R158" s="57"/>
      <c r="S158" s="57"/>
      <c r="T158" s="57"/>
    </row>
    <row r="159">
      <c r="A159" s="57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22"/>
      <c r="R159" s="57"/>
      <c r="S159" s="57"/>
      <c r="T159" s="57"/>
    </row>
    <row r="160">
      <c r="A160" s="57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22"/>
      <c r="R160" s="57"/>
      <c r="S160" s="57"/>
      <c r="T160" s="57"/>
    </row>
    <row r="161">
      <c r="A161" s="57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22"/>
      <c r="R161" s="57"/>
      <c r="S161" s="57"/>
      <c r="T161" s="57"/>
    </row>
    <row r="162">
      <c r="A162" s="57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22"/>
      <c r="R162" s="57"/>
      <c r="S162" s="57"/>
      <c r="T162" s="57"/>
    </row>
    <row r="163">
      <c r="A163" s="57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22"/>
      <c r="R163" s="57"/>
      <c r="S163" s="57"/>
      <c r="T163" s="57"/>
    </row>
    <row r="164">
      <c r="A164" s="57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22"/>
      <c r="R164" s="57"/>
      <c r="S164" s="57"/>
      <c r="T164" s="57"/>
    </row>
    <row r="165">
      <c r="A165" s="57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22"/>
      <c r="R165" s="57"/>
      <c r="S165" s="57"/>
      <c r="T165" s="57"/>
    </row>
    <row r="166">
      <c r="A166" s="57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22"/>
      <c r="R166" s="57"/>
      <c r="S166" s="57"/>
      <c r="T166" s="57"/>
    </row>
    <row r="167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22"/>
      <c r="R167" s="57"/>
      <c r="S167" s="57"/>
      <c r="T167" s="57"/>
    </row>
    <row r="168">
      <c r="A168" s="57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22"/>
      <c r="R168" s="57"/>
      <c r="S168" s="57"/>
      <c r="T168" s="57"/>
    </row>
    <row r="169">
      <c r="A169" s="57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22"/>
      <c r="R169" s="57"/>
      <c r="S169" s="57"/>
      <c r="T169" s="57"/>
    </row>
    <row r="170">
      <c r="A170" s="57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22"/>
      <c r="R170" s="57"/>
      <c r="S170" s="57"/>
      <c r="T170" s="57"/>
    </row>
    <row r="171">
      <c r="A171" s="57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22"/>
      <c r="R171" s="57"/>
      <c r="S171" s="57"/>
      <c r="T171" s="57"/>
    </row>
    <row r="172">
      <c r="A172" s="57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22"/>
      <c r="R172" s="57"/>
      <c r="S172" s="57"/>
      <c r="T172" s="57"/>
    </row>
    <row r="173">
      <c r="A173" s="57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22"/>
      <c r="R173" s="57"/>
      <c r="S173" s="57"/>
      <c r="T173" s="57"/>
    </row>
    <row r="174">
      <c r="A174" s="57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22"/>
      <c r="R174" s="57"/>
      <c r="S174" s="57"/>
      <c r="T174" s="57"/>
    </row>
    <row r="175">
      <c r="A175" s="57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22"/>
      <c r="R175" s="57"/>
      <c r="S175" s="57"/>
      <c r="T175" s="57"/>
    </row>
    <row r="176">
      <c r="A176" s="57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22"/>
      <c r="R176" s="57"/>
      <c r="S176" s="57"/>
      <c r="T176" s="57"/>
    </row>
    <row r="177">
      <c r="A177" s="57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22"/>
      <c r="R177" s="57"/>
      <c r="S177" s="57"/>
      <c r="T177" s="57"/>
    </row>
    <row r="178">
      <c r="A178" s="57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22"/>
      <c r="R178" s="57"/>
      <c r="S178" s="57"/>
      <c r="T178" s="57"/>
    </row>
    <row r="179">
      <c r="A179" s="57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22"/>
      <c r="R179" s="57"/>
      <c r="S179" s="57"/>
      <c r="T179" s="57"/>
    </row>
    <row r="180">
      <c r="A180" s="57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22"/>
      <c r="R180" s="57"/>
      <c r="S180" s="57"/>
      <c r="T180" s="57"/>
    </row>
    <row r="181">
      <c r="A181" s="57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22"/>
      <c r="R181" s="57"/>
      <c r="S181" s="57"/>
      <c r="T181" s="57"/>
    </row>
    <row r="182">
      <c r="A182" s="57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22"/>
      <c r="R182" s="57"/>
      <c r="S182" s="57"/>
      <c r="T182" s="57"/>
    </row>
    <row r="183">
      <c r="A183" s="57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22"/>
      <c r="R183" s="57"/>
      <c r="S183" s="57"/>
      <c r="T183" s="57"/>
    </row>
    <row r="184">
      <c r="A184" s="57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22"/>
      <c r="R184" s="57"/>
      <c r="S184" s="57"/>
      <c r="T184" s="57"/>
    </row>
    <row r="185">
      <c r="A185" s="57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22"/>
      <c r="R185" s="57"/>
      <c r="S185" s="57"/>
      <c r="T185" s="57"/>
    </row>
    <row r="186">
      <c r="A186" s="57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22"/>
      <c r="R186" s="57"/>
      <c r="S186" s="57"/>
      <c r="T186" s="57"/>
    </row>
    <row r="187">
      <c r="A187" s="57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22"/>
      <c r="R187" s="57"/>
      <c r="S187" s="57"/>
      <c r="T187" s="57"/>
    </row>
    <row r="188">
      <c r="A188" s="57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22"/>
      <c r="R188" s="57"/>
      <c r="S188" s="57"/>
      <c r="T188" s="57"/>
    </row>
    <row r="189">
      <c r="A189" s="57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22"/>
      <c r="R189" s="57"/>
      <c r="S189" s="57"/>
      <c r="T189" s="57"/>
    </row>
    <row r="190">
      <c r="A190" s="57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22"/>
      <c r="R190" s="57"/>
      <c r="S190" s="57"/>
      <c r="T190" s="57"/>
    </row>
    <row r="191">
      <c r="A191" s="57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22"/>
      <c r="R191" s="57"/>
      <c r="S191" s="57"/>
      <c r="T191" s="57"/>
    </row>
    <row r="192">
      <c r="A192" s="57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22"/>
      <c r="R192" s="57"/>
      <c r="S192" s="57"/>
      <c r="T192" s="57"/>
    </row>
    <row r="193">
      <c r="A193" s="57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22"/>
      <c r="R193" s="57"/>
      <c r="S193" s="57"/>
      <c r="T193" s="57"/>
    </row>
    <row r="194">
      <c r="A194" s="57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22"/>
      <c r="R194" s="57"/>
      <c r="S194" s="57"/>
      <c r="T194" s="57"/>
    </row>
    <row r="195">
      <c r="A195" s="57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22"/>
      <c r="R195" s="57"/>
      <c r="S195" s="57"/>
      <c r="T195" s="57"/>
    </row>
    <row r="196">
      <c r="A196" s="57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22"/>
      <c r="R196" s="57"/>
      <c r="S196" s="57"/>
      <c r="T196" s="57"/>
    </row>
    <row r="197">
      <c r="A197" s="57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22"/>
      <c r="R197" s="57"/>
      <c r="S197" s="57"/>
      <c r="T197" s="57"/>
    </row>
    <row r="198">
      <c r="A198" s="57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22"/>
      <c r="R198" s="57"/>
      <c r="S198" s="57"/>
      <c r="T198" s="57"/>
    </row>
    <row r="199">
      <c r="A199" s="57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22"/>
      <c r="R199" s="57"/>
      <c r="S199" s="57"/>
      <c r="T199" s="57"/>
    </row>
    <row r="200">
      <c r="A200" s="57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22"/>
      <c r="R200" s="57"/>
      <c r="S200" s="57"/>
      <c r="T200" s="57"/>
    </row>
  </sheetData>
  <picture r:id="rId1"/>
</worksheet>
</file>

<file path=xl/worksheets/sheet2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</row>
    <row r="2">
      <c r="B2" s="90" t="str">
        <v>退后销量</v>
      </c>
      <c r="C2" s="88">
        <v>231.76974120770188</v>
      </c>
      <c r="D2" s="88">
        <v>211.39437934328853</v>
      </c>
      <c r="E2" s="88">
        <v>247.05126260601187</v>
      </c>
      <c r="F2" s="88">
        <v>205.02707876065935</v>
      </c>
      <c r="G2" s="88">
        <v>357.84229274375946</v>
      </c>
      <c r="H2" s="88">
        <v>309.45080831577775</v>
      </c>
      <c r="I2" s="88">
        <v>201.20669841108185</v>
      </c>
      <c r="J2" s="88">
        <v>252.90917914203072</v>
      </c>
      <c r="K2" s="88">
        <v>278.88776551915777</v>
      </c>
      <c r="L2" s="88">
        <v>369.55812581579715</v>
      </c>
      <c r="M2" s="88">
        <v>287.29260228822824</v>
      </c>
      <c r="N2" s="88">
        <v>256.72955949160826</v>
      </c>
      <c r="O2" s="88">
        <f>SUM(C2:N2)</f>
      </c>
      <c r="P2" s="88"/>
      <c r="Q2" s="1"/>
    </row>
    <row r="3">
      <c r="A3" s="97"/>
      <c r="B3" s="94" t="str">
        <v>自补前GMV</v>
      </c>
      <c r="C3" s="205">
        <f>C6/(1-$P$6)</f>
      </c>
      <c r="D3" s="205">
        <f>D6/(1-$P$6)</f>
      </c>
      <c r="E3" s="205">
        <f>E6/(1-$P$6)</f>
      </c>
      <c r="F3" s="205">
        <f>F6/(1-$P$6)</f>
      </c>
      <c r="G3" s="205">
        <f>G6/(1-$P$6)</f>
      </c>
      <c r="H3" s="205">
        <f>H6/(1-$P$6)</f>
      </c>
      <c r="I3" s="205">
        <f>I6/(1-$P$6)</f>
      </c>
      <c r="J3" s="205">
        <f>J6/(1-$P$6)</f>
      </c>
      <c r="K3" s="205">
        <f>K6/(1-$P$6)</f>
      </c>
      <c r="L3" s="205">
        <f>L6/(1-$P$6)</f>
      </c>
      <c r="M3" s="205">
        <f>M6/(1-$P$6)</f>
      </c>
      <c r="N3" s="205">
        <f>N6/(1-$P$6)</f>
      </c>
      <c r="O3" s="93">
        <f>SUM(C3:N3)</f>
      </c>
      <c r="P3" s="93"/>
      <c r="Q3" s="146" t="str">
        <v>渠道填写</v>
      </c>
    </row>
    <row r="4">
      <c r="A4" s="97"/>
      <c r="B4" s="94" t="str">
        <v>自补前GSV</v>
      </c>
      <c r="C4" s="205">
        <f>C8/(1-$P$8)</f>
      </c>
      <c r="D4" s="205">
        <f>D8/(1-$P$8)</f>
      </c>
      <c r="E4" s="205">
        <f>E8/(1-$P$8)</f>
      </c>
      <c r="F4" s="205">
        <f>F8/(1-$P$8)</f>
      </c>
      <c r="G4" s="205">
        <f>G8/(1-$P$8)</f>
      </c>
      <c r="H4" s="205">
        <f>H8/(1-$P$8)</f>
      </c>
      <c r="I4" s="205">
        <f>I8/(1-$P$8)</f>
      </c>
      <c r="J4" s="205">
        <f>J8/(1-$P$8)</f>
      </c>
      <c r="K4" s="205">
        <f>K8/(1-$P$8)</f>
      </c>
      <c r="L4" s="205">
        <f>L8/(1-$P$8)</f>
      </c>
      <c r="M4" s="205">
        <f>M8/(1-$P$8)</f>
      </c>
      <c r="N4" s="205">
        <f>N8/(1-$P$8)</f>
      </c>
      <c r="O4" s="93">
        <f>SUM(C4:N4)</f>
      </c>
      <c r="P4" s="93"/>
      <c r="Q4" s="146" t="str">
        <v>渠道填写</v>
      </c>
    </row>
    <row r="5">
      <c r="A5" s="97"/>
      <c r="B5" s="94" t="str">
        <v>国补自补费用</v>
      </c>
      <c r="C5" s="93">
        <f>C12</f>
      </c>
      <c r="D5" s="93">
        <f>D12</f>
      </c>
      <c r="E5" s="93">
        <f>E12</f>
      </c>
      <c r="F5" s="93">
        <f>F12</f>
      </c>
      <c r="G5" s="93">
        <f>G12</f>
      </c>
      <c r="H5" s="93">
        <f>H12</f>
      </c>
      <c r="I5" s="93">
        <f>I12</f>
      </c>
      <c r="J5" s="93">
        <f>J12</f>
      </c>
      <c r="K5" s="93">
        <f>K12</f>
      </c>
      <c r="L5" s="93">
        <f>L12</f>
      </c>
      <c r="M5" s="93">
        <f>M12</f>
      </c>
      <c r="N5" s="93">
        <f>N12</f>
      </c>
      <c r="O5" s="93">
        <f>SUM(C5:N5)</f>
      </c>
      <c r="P5" s="93"/>
      <c r="Q5" s="126" t="str">
        <v>渠道填写</v>
      </c>
    </row>
    <row r="6">
      <c r="A6" s="97"/>
      <c r="B6" s="98" t="str">
        <v>GMV（国补后）</v>
      </c>
      <c r="C6" s="93">
        <f>C8/(1-C7)</f>
      </c>
      <c r="D6" s="93">
        <f>D8/(1-D7)</f>
      </c>
      <c r="E6" s="93">
        <f>E8/(1-E7)</f>
      </c>
      <c r="F6" s="93">
        <f>F8/(1-F7)</f>
      </c>
      <c r="G6" s="93">
        <f>G8/(1-G7)</f>
      </c>
      <c r="H6" s="93">
        <f>H8/(1-H7)</f>
      </c>
      <c r="I6" s="93">
        <f>I8/(1-I7)</f>
      </c>
      <c r="J6" s="93">
        <f>J8/(1-J7)</f>
      </c>
      <c r="K6" s="93">
        <f>K8/(1-K7)</f>
      </c>
      <c r="L6" s="93">
        <f>L8/(1-L7)</f>
      </c>
      <c r="M6" s="93">
        <f>M8/(1-M7)</f>
      </c>
      <c r="N6" s="93">
        <f>N8/(1-N7)</f>
      </c>
      <c r="O6" s="95">
        <f>SUM(C6:N6)</f>
      </c>
      <c r="P6" s="204">
        <v>0.15</v>
      </c>
      <c r="Q6" s="126" t="str">
        <v>渠道填写</v>
      </c>
    </row>
    <row r="7">
      <c r="A7" s="97"/>
      <c r="B7" s="102" t="str">
        <v>退货率（发货前+后）</v>
      </c>
      <c r="C7" s="103">
        <v>0.2</v>
      </c>
      <c r="D7" s="103">
        <v>0.19</v>
      </c>
      <c r="E7" s="103">
        <v>0.19</v>
      </c>
      <c r="F7" s="103">
        <v>0.19</v>
      </c>
      <c r="G7" s="103">
        <v>0.18</v>
      </c>
      <c r="H7" s="103">
        <v>0.2</v>
      </c>
      <c r="I7" s="103">
        <v>0.18</v>
      </c>
      <c r="J7" s="103">
        <v>0.18</v>
      </c>
      <c r="K7" s="103">
        <v>0.18</v>
      </c>
      <c r="L7" s="103">
        <v>0.17</v>
      </c>
      <c r="M7" s="103">
        <v>0.17</v>
      </c>
      <c r="N7" s="103">
        <v>0.17</v>
      </c>
      <c r="O7" s="103">
        <f>1-O8/O6</f>
      </c>
      <c r="P7" s="103"/>
      <c r="Q7" s="1" t="str">
        <v>渠道填写</v>
      </c>
    </row>
    <row r="8">
      <c r="A8" s="97"/>
      <c r="B8" s="98" t="str">
        <v>GSV（国补后）</v>
      </c>
      <c r="C8" s="95">
        <v>76500</v>
      </c>
      <c r="D8" s="95">
        <v>91035</v>
      </c>
      <c r="E8" s="95">
        <v>95625</v>
      </c>
      <c r="F8" s="95">
        <v>91800</v>
      </c>
      <c r="G8" s="95">
        <v>103275</v>
      </c>
      <c r="H8" s="95">
        <v>95625</v>
      </c>
      <c r="I8" s="95">
        <v>95625</v>
      </c>
      <c r="J8" s="95">
        <v>104040</v>
      </c>
      <c r="K8" s="95">
        <v>95625</v>
      </c>
      <c r="L8" s="95">
        <v>99450</v>
      </c>
      <c r="M8" s="95">
        <v>99450</v>
      </c>
      <c r="N8" s="95">
        <v>99450</v>
      </c>
      <c r="O8" s="95">
        <f>SUM(C8:N8)</f>
      </c>
      <c r="P8" s="204">
        <v>0.15</v>
      </c>
      <c r="Q8" s="1" t="str">
        <v>渠道填写</v>
      </c>
    </row>
    <row r="9">
      <c r="B9" s="90"/>
      <c r="C9" s="88">
        <f>C10-C14-C15</f>
      </c>
      <c r="D9" s="88">
        <f>D10-D14-D15</f>
      </c>
      <c r="E9" s="88">
        <f>E10-E14-E15</f>
      </c>
      <c r="F9" s="88">
        <f>F10-F14-F15</f>
      </c>
      <c r="G9" s="88">
        <f>G10-G14-G15</f>
      </c>
      <c r="H9" s="88">
        <f>H10-H14-H15</f>
      </c>
      <c r="I9" s="88">
        <f>I10-I14-I15</f>
      </c>
      <c r="J9" s="88">
        <f>J10-J14-J15</f>
      </c>
      <c r="K9" s="88">
        <f>K10-K14-K15</f>
      </c>
      <c r="L9" s="88">
        <f>L10-L14-L15</f>
      </c>
      <c r="M9" s="88">
        <f>M10-M14-M15</f>
      </c>
      <c r="N9" s="88">
        <f>N10-N14-N15</f>
      </c>
      <c r="O9" s="88">
        <f>O10-O14-O15</f>
      </c>
      <c r="P9" s="88"/>
      <c r="Q9" s="1"/>
    </row>
    <row r="10">
      <c r="A10" s="97"/>
      <c r="B10" s="98" t="str">
        <v>零售价（去除退货后的）</v>
      </c>
      <c r="C10" s="95">
        <f>C4+C13</f>
      </c>
      <c r="D10" s="95">
        <f>D4+D13</f>
      </c>
      <c r="E10" s="95">
        <f>E4+E13</f>
      </c>
      <c r="F10" s="95">
        <f>F4+F13</f>
      </c>
      <c r="G10" s="95">
        <f>G4+G13</f>
      </c>
      <c r="H10" s="95">
        <f>H4+H13</f>
      </c>
      <c r="I10" s="95">
        <f>I4+I13</f>
      </c>
      <c r="J10" s="95">
        <f>J4+J13</f>
      </c>
      <c r="K10" s="95">
        <f>K4+K13</f>
      </c>
      <c r="L10" s="95">
        <f>L4+L13</f>
      </c>
      <c r="M10" s="95">
        <f>M4+M13</f>
      </c>
      <c r="N10" s="95">
        <f>N4+N13</f>
      </c>
      <c r="O10" s="95">
        <f>SUM(C10:N10)</f>
      </c>
      <c r="P10" s="95"/>
      <c r="Q10" s="1"/>
    </row>
    <row r="11">
      <c r="B11" s="85" t="str">
        <v>合同折扣及返利 (线下）</v>
      </c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>
        <f>SUM(C11:N11)</f>
      </c>
      <c r="P11" s="84"/>
      <c r="Q11" s="1" t="str">
        <v>线下渠道填写</v>
      </c>
    </row>
    <row r="12">
      <c r="B12" s="85" t="str">
        <v>国补自补 （线上）</v>
      </c>
      <c r="C12" s="84">
        <f>C4*$P$12</f>
      </c>
      <c r="D12" s="84">
        <f>D4*$P$12</f>
      </c>
      <c r="E12" s="84">
        <f>E4*$P$12</f>
      </c>
      <c r="F12" s="84">
        <f>F4*$P$12</f>
      </c>
      <c r="G12" s="84">
        <f>G4*$P$12</f>
      </c>
      <c r="H12" s="84">
        <f>H4*$P$12</f>
      </c>
      <c r="I12" s="84">
        <f>I4*$P$12</f>
      </c>
      <c r="J12" s="84">
        <f>J4*$P$12</f>
      </c>
      <c r="K12" s="84">
        <f>K4*$P$12</f>
      </c>
      <c r="L12" s="84">
        <f>L4*$P$12</f>
      </c>
      <c r="M12" s="84">
        <f>M4*$P$12</f>
      </c>
      <c r="N12" s="84">
        <f>N4*$P$12</f>
      </c>
      <c r="O12" s="84">
        <f>SUM(C12:N12)</f>
      </c>
      <c r="P12" s="183">
        <v>0.15</v>
      </c>
      <c r="Q12" s="1" t="str">
        <v>渠道填写</v>
      </c>
      <c r="R12" s="54">
        <f>O12/$O$10</f>
      </c>
    </row>
    <row r="13">
      <c r="B13" s="85" t="str">
        <v>红包消费券等促销折扣</v>
      </c>
      <c r="C13" s="84">
        <v>0</v>
      </c>
      <c r="D13" s="84">
        <v>0</v>
      </c>
      <c r="E13" s="84">
        <v>0</v>
      </c>
      <c r="F13" s="84">
        <v>0</v>
      </c>
      <c r="G13" s="84">
        <v>0</v>
      </c>
      <c r="H13" s="84">
        <v>0</v>
      </c>
      <c r="I13" s="84">
        <v>0</v>
      </c>
      <c r="J13" s="84">
        <v>0</v>
      </c>
      <c r="K13" s="84">
        <v>0</v>
      </c>
      <c r="L13" s="84">
        <v>0</v>
      </c>
      <c r="M13" s="84">
        <v>0</v>
      </c>
      <c r="N13" s="84">
        <v>0</v>
      </c>
      <c r="O13" s="84">
        <f>SUM(C13:N13)</f>
      </c>
      <c r="P13" s="84"/>
      <c r="Q13" s="1" t="str">
        <v>渠道填写</v>
      </c>
      <c r="R13" s="54">
        <f>O13/$O$10</f>
      </c>
    </row>
    <row r="14">
      <c r="B14" s="83" t="str">
        <v>TTL 折扣合计</v>
      </c>
      <c r="C14" s="81">
        <f>SUM(C11:C13)</f>
      </c>
      <c r="D14" s="81">
        <f>SUM(D11:D13)</f>
      </c>
      <c r="E14" s="81">
        <f>SUM(E11:E13)</f>
      </c>
      <c r="F14" s="81">
        <f>SUM(F11:F13)</f>
      </c>
      <c r="G14" s="81">
        <f>SUM(G11:G13)</f>
      </c>
      <c r="H14" s="81">
        <f>SUM(H11:H13)</f>
      </c>
      <c r="I14" s="81">
        <f>SUM(I11:I13)</f>
      </c>
      <c r="J14" s="81">
        <f>SUM(J11:J13)</f>
      </c>
      <c r="K14" s="81">
        <f>SUM(K11:K13)</f>
      </c>
      <c r="L14" s="81">
        <f>SUM(L11:L13)</f>
      </c>
      <c r="M14" s="81">
        <f>SUM(M11:M13)</f>
      </c>
      <c r="N14" s="81">
        <f>SUM(N11:N13)</f>
      </c>
      <c r="O14" s="81">
        <f>SUM(C14:N14)</f>
      </c>
      <c r="P14" s="81"/>
      <c r="Q14" s="1"/>
    </row>
    <row r="15">
      <c r="A15" s="97"/>
      <c r="B15" s="98" t="str">
        <v>GSV</v>
      </c>
      <c r="C15" s="95">
        <f>C8</f>
      </c>
      <c r="D15" s="95">
        <f>D8</f>
      </c>
      <c r="E15" s="95">
        <f>E8</f>
      </c>
      <c r="F15" s="95">
        <f>F8</f>
      </c>
      <c r="G15" s="95">
        <f>G8</f>
      </c>
      <c r="H15" s="95">
        <f>H8</f>
      </c>
      <c r="I15" s="95">
        <f>I8</f>
      </c>
      <c r="J15" s="95">
        <f>J8</f>
      </c>
      <c r="K15" s="95">
        <f>K8</f>
      </c>
      <c r="L15" s="95">
        <f>L8</f>
      </c>
      <c r="M15" s="95">
        <f>M8</f>
      </c>
      <c r="N15" s="95">
        <f>N8</f>
      </c>
      <c r="O15" s="95">
        <f>SUM(C15:N15)</f>
      </c>
      <c r="P15" s="95"/>
      <c r="Q15" s="1"/>
    </row>
    <row r="16">
      <c r="A16" s="97"/>
      <c r="B16" s="98" t="str">
        <v>营业收入</v>
      </c>
      <c r="C16" s="95">
        <f>+C8/1.13</f>
      </c>
      <c r="D16" s="95">
        <f>+D8/1.13</f>
      </c>
      <c r="E16" s="95">
        <f>+E8/1.13</f>
      </c>
      <c r="F16" s="95">
        <f>+F8/1.13</f>
      </c>
      <c r="G16" s="95">
        <f>+G8/1.13</f>
      </c>
      <c r="H16" s="95">
        <f>+H8/1.13</f>
      </c>
      <c r="I16" s="95">
        <f>+I8/1.13</f>
      </c>
      <c r="J16" s="95">
        <f>+J8/1.13</f>
      </c>
      <c r="K16" s="95">
        <f>+K8/1.13</f>
      </c>
      <c r="L16" s="95">
        <f>+L8/1.13</f>
      </c>
      <c r="M16" s="95">
        <f>+M8/1.13</f>
      </c>
      <c r="N16" s="95">
        <f>+N8/1.13</f>
      </c>
      <c r="O16" s="95">
        <f>SUM(C16:N16)</f>
      </c>
      <c r="P16" s="95"/>
      <c r="Q16" s="1"/>
    </row>
    <row r="17">
      <c r="Q17" s="1"/>
    </row>
    <row r="18">
      <c r="B18" s="85" t="str">
        <v>标准主品配件成本</v>
      </c>
      <c r="C18" s="84">
        <f>C64*C65</f>
      </c>
      <c r="D18" s="84">
        <f>D64*D65</f>
      </c>
      <c r="E18" s="84">
        <f>E64*E65</f>
      </c>
      <c r="F18" s="84">
        <f>F64*F65</f>
      </c>
      <c r="G18" s="84">
        <f>G64*G65</f>
      </c>
      <c r="H18" s="84">
        <f>H64*H65</f>
      </c>
      <c r="I18" s="84">
        <f>I64*I65</f>
      </c>
      <c r="J18" s="84">
        <f>J64*J65</f>
      </c>
      <c r="K18" s="84">
        <f>K64*K65</f>
      </c>
      <c r="L18" s="84">
        <f>L64*L65</f>
      </c>
      <c r="M18" s="84">
        <f>M64*M65</f>
      </c>
      <c r="N18" s="84">
        <f>N64*N65</f>
      </c>
      <c r="O18" s="84">
        <f>SUM(C18:N18)</f>
      </c>
      <c r="P18" s="86">
        <f>O18/O16</f>
      </c>
      <c r="Q18" s="1"/>
    </row>
    <row r="19">
      <c r="B19" s="83" t="str">
        <v>产品毛利</v>
      </c>
      <c r="C19" s="81">
        <f>C16-C18</f>
      </c>
      <c r="D19" s="81">
        <f>D16-D18</f>
      </c>
      <c r="E19" s="81">
        <f>E16-E18</f>
      </c>
      <c r="F19" s="81">
        <f>F16-F18</f>
      </c>
      <c r="G19" s="81">
        <f>G16-G18</f>
      </c>
      <c r="H19" s="81">
        <f>H16-H18</f>
      </c>
      <c r="I19" s="81">
        <f>I16-I18</f>
      </c>
      <c r="J19" s="81">
        <f>J16-J18</f>
      </c>
      <c r="K19" s="81">
        <f>K16-K18</f>
      </c>
      <c r="L19" s="81">
        <f>L16-L18</f>
      </c>
      <c r="M19" s="81">
        <f>M16-M18</f>
      </c>
      <c r="N19" s="81">
        <f>N16-N18</f>
      </c>
      <c r="O19" s="81">
        <f>SUM(C19:N19)</f>
      </c>
      <c r="P19" s="82">
        <f>O19/$O$16</f>
      </c>
      <c r="Q19" s="1"/>
    </row>
    <row r="20">
      <c r="A20" s="88"/>
      <c r="B20" s="90" t="str">
        <v>头程/尾程物流/仓储费用</v>
      </c>
      <c r="C20" s="110">
        <f>C16*2.5%</f>
      </c>
      <c r="D20" s="110">
        <f>D16*2.5%</f>
      </c>
      <c r="E20" s="110">
        <f>E16*2.5%</f>
      </c>
      <c r="F20" s="110">
        <f>F16*2.5%</f>
      </c>
      <c r="G20" s="110">
        <f>G16*2.5%</f>
      </c>
      <c r="H20" s="110">
        <f>H16*2.5%</f>
      </c>
      <c r="I20" s="110">
        <f>I16*2.5%</f>
      </c>
      <c r="J20" s="110">
        <f>J16*2.5%</f>
      </c>
      <c r="K20" s="110">
        <f>K16*2.5%</f>
      </c>
      <c r="L20" s="110">
        <f>L16*2.5%</f>
      </c>
      <c r="M20" s="110">
        <f>M16*2.5%</f>
      </c>
      <c r="N20" s="110">
        <f>N16*2.5%</f>
      </c>
      <c r="O20" s="110">
        <f>SUM(C20:N20)</f>
      </c>
      <c r="P20" s="111">
        <v>0.025</v>
      </c>
      <c r="Q20" s="1"/>
    </row>
    <row r="21">
      <c r="B21" s="83" t="str">
        <v>成本合计（产品+物流）</v>
      </c>
      <c r="C21" s="81">
        <f>SUM(C18,C20)</f>
      </c>
      <c r="D21" s="81">
        <f>SUM(D18,D20)</f>
      </c>
      <c r="E21" s="81">
        <f>SUM(E18,E20)</f>
      </c>
      <c r="F21" s="81">
        <f>SUM(F18,F20)</f>
      </c>
      <c r="G21" s="81">
        <f>SUM(G18,G20)</f>
      </c>
      <c r="H21" s="81">
        <f>SUM(H18,H20)</f>
      </c>
      <c r="I21" s="81">
        <f>SUM(I18,I20)</f>
      </c>
      <c r="J21" s="81">
        <f>SUM(J18,J20)</f>
      </c>
      <c r="K21" s="81">
        <f>SUM(K18,K20)</f>
      </c>
      <c r="L21" s="81">
        <f>SUM(L18,L20)</f>
      </c>
      <c r="M21" s="81">
        <f>SUM(M18,M20)</f>
      </c>
      <c r="N21" s="81">
        <f>SUM(N18,N20)</f>
      </c>
      <c r="O21" s="81">
        <f>SUM(C21:N21)</f>
      </c>
      <c r="P21" s="82">
        <f>O21/$O$16</f>
      </c>
      <c r="Q21" s="1"/>
    </row>
    <row r="22">
      <c r="A22" s="97"/>
      <c r="B22" s="98" t="str">
        <v>净毛利</v>
      </c>
      <c r="C22" s="95">
        <f>C16-C21</f>
      </c>
      <c r="D22" s="95">
        <f>D16-D21</f>
      </c>
      <c r="E22" s="95">
        <f>E16-E21</f>
      </c>
      <c r="F22" s="95">
        <f>F16-F21</f>
      </c>
      <c r="G22" s="95">
        <f>G16-G21</f>
      </c>
      <c r="H22" s="95">
        <f>H16-H21</f>
      </c>
      <c r="I22" s="95">
        <f>I16-I21</f>
      </c>
      <c r="J22" s="95">
        <f>J16-J21</f>
      </c>
      <c r="K22" s="95">
        <f>K16-K21</f>
      </c>
      <c r="L22" s="95">
        <f>L16-L21</f>
      </c>
      <c r="M22" s="95">
        <f>M16-M21</f>
      </c>
      <c r="N22" s="95">
        <f>N16-N21</f>
      </c>
      <c r="O22" s="95">
        <f>SUM(C22:N22)</f>
      </c>
      <c r="P22" s="96">
        <f>O22/$O$16</f>
      </c>
      <c r="Q22" s="1"/>
    </row>
    <row r="23"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91"/>
      <c r="Q23" s="1"/>
    </row>
    <row r="24">
      <c r="B24" s="102" t="str">
        <v>合计毛利率</v>
      </c>
      <c r="C24" s="101">
        <f>IFERROR(1-C21/C16,0)</f>
      </c>
      <c r="D24" s="101">
        <f>IFERROR(1-D21/D16,0)</f>
      </c>
      <c r="E24" s="101">
        <f>IFERROR(1-E21/E16,0)</f>
      </c>
      <c r="F24" s="101">
        <f>IFERROR(1-F21/F16,0)</f>
      </c>
      <c r="G24" s="101">
        <f>IFERROR(1-G21/G16,0)</f>
      </c>
      <c r="H24" s="101">
        <f>IFERROR(1-H21/H16,0)</f>
      </c>
      <c r="I24" s="101">
        <f>IFERROR(1-I21/I16,0)</f>
      </c>
      <c r="J24" s="101">
        <f>IFERROR(1-J21/J16,0)</f>
      </c>
      <c r="K24" s="101">
        <f>IFERROR(1-K21/K16,0)</f>
      </c>
      <c r="L24" s="101">
        <f>IFERROR(1-L21/L16,0)</f>
      </c>
      <c r="M24" s="101">
        <f>IFERROR(1-M21/M16,0)</f>
      </c>
      <c r="N24" s="101">
        <f>IFERROR(1-N21/N16,0)</f>
      </c>
      <c r="O24" s="101">
        <f>IFERROR(1-O21/O16,0)</f>
      </c>
      <c r="P24" s="91"/>
      <c r="Q24" s="1"/>
    </row>
    <row r="25"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91"/>
      <c r="Q25" s="1"/>
    </row>
    <row r="26">
      <c r="B26" s="85" t="str">
        <v>品牌及内容费用</v>
      </c>
      <c r="C26" s="84">
        <f>SUM(C27:C31)</f>
      </c>
      <c r="D26" s="84">
        <f>SUM(D27:D31)</f>
      </c>
      <c r="E26" s="84">
        <f>SUM(E27:E31)</f>
      </c>
      <c r="F26" s="84">
        <f>SUM(F27:F31)</f>
      </c>
      <c r="G26" s="84">
        <f>SUM(G27:G31)</f>
      </c>
      <c r="H26" s="84">
        <f>SUM(H27:H31)</f>
      </c>
      <c r="I26" s="84">
        <f>SUM(I27:I31)</f>
      </c>
      <c r="J26" s="84">
        <f>SUM(J27:J31)</f>
      </c>
      <c r="K26" s="84">
        <f>SUM(K27:K31)</f>
      </c>
      <c r="L26" s="84">
        <f>SUM(L27:L31)</f>
      </c>
      <c r="M26" s="84">
        <f>SUM(M27:M31)</f>
      </c>
      <c r="N26" s="84">
        <f>SUM(N27:N31)</f>
      </c>
      <c r="O26" s="84">
        <f>SUM(C26:N26)</f>
      </c>
      <c r="P26" s="86">
        <f>O26/$O$16</f>
      </c>
      <c r="Q26" s="1"/>
    </row>
    <row r="27">
      <c r="A27" s="88"/>
      <c r="B27" s="90" t="str">
        <v>展会</v>
      </c>
      <c r="C27" s="89">
        <v>0</v>
      </c>
      <c r="D27" s="89">
        <v>0</v>
      </c>
      <c r="E27" s="89">
        <v>172.21398239190765</v>
      </c>
      <c r="F27" s="89">
        <v>144.59113979440878</v>
      </c>
      <c r="G27" s="89">
        <v>301.7326562662942</v>
      </c>
      <c r="H27" s="89">
        <v>265.8588467527379</v>
      </c>
      <c r="I27" s="89">
        <v>173.41781537255613</v>
      </c>
      <c r="J27" s="89">
        <v>237.45447606314997</v>
      </c>
      <c r="K27" s="89">
        <v>190.44001788189857</v>
      </c>
      <c r="L27" s="89">
        <v>316.7595061023963</v>
      </c>
      <c r="M27" s="89">
        <v>240.18524348986267</v>
      </c>
      <c r="N27" s="89">
        <v>0</v>
      </c>
      <c r="O27" s="88">
        <f>SUM(C27:N27)</f>
      </c>
      <c r="P27" s="91">
        <f>O27/$O$16</f>
      </c>
      <c r="Q27" s="90"/>
    </row>
    <row r="28">
      <c r="A28" s="88"/>
      <c r="B28" s="90" t="str">
        <v>品牌营销</v>
      </c>
      <c r="C28" s="89">
        <v>0</v>
      </c>
      <c r="D28" s="89">
        <v>0</v>
      </c>
      <c r="E28" s="89">
        <v>0</v>
      </c>
      <c r="F28" s="89">
        <v>173.50936775329055</v>
      </c>
      <c r="G28" s="89">
        <v>1810.395937597765</v>
      </c>
      <c r="H28" s="89">
        <v>850.7483096087612</v>
      </c>
      <c r="I28" s="89">
        <v>0</v>
      </c>
      <c r="J28" s="89">
        <v>284.94537127578</v>
      </c>
      <c r="K28" s="89">
        <v>609.4080572220754</v>
      </c>
      <c r="L28" s="89">
        <v>380.1114073228756</v>
      </c>
      <c r="M28" s="89">
        <v>288.2222921878352</v>
      </c>
      <c r="N28" s="89">
        <v>0</v>
      </c>
      <c r="O28" s="88">
        <f>SUM(C28:N28)</f>
      </c>
      <c r="P28" s="91">
        <f>O28/$O$16</f>
      </c>
      <c r="Q28" s="90"/>
    </row>
    <row r="29">
      <c r="A29" s="88"/>
      <c r="B29" s="90" t="str">
        <v>内容素材制作</v>
      </c>
      <c r="C29" s="89">
        <v>83.29632165224295</v>
      </c>
      <c r="D29" s="89">
        <v>68.16987153862593</v>
      </c>
      <c r="E29" s="89">
        <v>68.88559295676306</v>
      </c>
      <c r="F29" s="89">
        <v>289.18227958881755</v>
      </c>
      <c r="G29" s="89">
        <v>1810.395937597765</v>
      </c>
      <c r="H29" s="89">
        <v>1169.7789257120469</v>
      </c>
      <c r="I29" s="89">
        <v>0</v>
      </c>
      <c r="J29" s="89">
        <v>284.94537127578</v>
      </c>
      <c r="K29" s="89">
        <v>609.4080572220754</v>
      </c>
      <c r="L29" s="89">
        <v>633.5190122047926</v>
      </c>
      <c r="M29" s="89">
        <v>480.37048697972534</v>
      </c>
      <c r="N29" s="89">
        <v>84.41705138724576</v>
      </c>
      <c r="O29" s="88">
        <f>SUM(C29:N29)</f>
      </c>
      <c r="P29" s="91">
        <f>O29/$O$16</f>
      </c>
      <c r="Q29" s="1"/>
    </row>
    <row r="30">
      <c r="A30" s="88"/>
      <c r="B30" s="90" t="str">
        <v>公关费用</v>
      </c>
      <c r="C30" s="89">
        <v>83.29632165224295</v>
      </c>
      <c r="D30" s="89">
        <v>68.16987153862593</v>
      </c>
      <c r="E30" s="89">
        <v>551.0847436541045</v>
      </c>
      <c r="F30" s="89">
        <v>57.836455917763516</v>
      </c>
      <c r="G30" s="89">
        <v>362.079187519553</v>
      </c>
      <c r="H30" s="89">
        <v>106.34353870109516</v>
      </c>
      <c r="I30" s="89">
        <v>69.36712614902245</v>
      </c>
      <c r="J30" s="89">
        <v>94.98179042526</v>
      </c>
      <c r="K30" s="89">
        <v>76.17600715275942</v>
      </c>
      <c r="L30" s="89">
        <v>253.40760488191708</v>
      </c>
      <c r="M30" s="89">
        <v>192.14819479189015</v>
      </c>
      <c r="N30" s="89">
        <v>84.41705138724576</v>
      </c>
      <c r="O30" s="88">
        <f>SUM(C30:N30)</f>
      </c>
      <c r="P30" s="91">
        <f>O30/$O$16</f>
      </c>
      <c r="Q30" s="1"/>
    </row>
    <row collapsed="true" r="31">
      <c r="A31" s="88"/>
      <c r="B31" s="90" t="str">
        <v>达人种草、样机及加热</v>
      </c>
      <c r="C31" s="89">
        <v>832.9632165224297</v>
      </c>
      <c r="D31" s="89">
        <v>3408.493576931297</v>
      </c>
      <c r="E31" s="89">
        <v>5510.847436541045</v>
      </c>
      <c r="F31" s="89">
        <v>2891.8227958881757</v>
      </c>
      <c r="G31" s="89">
        <v>10862.37562558659</v>
      </c>
      <c r="H31" s="89">
        <v>6380.612322065709</v>
      </c>
      <c r="I31" s="89">
        <v>1387.342522980449</v>
      </c>
      <c r="J31" s="89">
        <v>1899.6358085051997</v>
      </c>
      <c r="K31" s="89">
        <v>761.7600715275943</v>
      </c>
      <c r="L31" s="89">
        <v>6335.190122047927</v>
      </c>
      <c r="M31" s="89">
        <v>1921.4819479189014</v>
      </c>
      <c r="N31" s="89">
        <v>1688.3410277449154</v>
      </c>
      <c r="O31" s="88">
        <f>SUM(C31:N31)</f>
      </c>
      <c r="P31" s="91">
        <f>O31/$O$16</f>
      </c>
      <c r="Q31" s="1"/>
    </row>
    <row hidden="true" outlineLevel="1" r="32">
      <c r="A32" s="88"/>
      <c r="B32" s="90" t="str">
        <v>展会(费率)</v>
      </c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91"/>
      <c r="Q32" s="1"/>
    </row>
    <row hidden="true" outlineLevel="1" r="33">
      <c r="A33" s="88"/>
      <c r="B33" s="90" t="str">
        <v>品牌营销（费率）</v>
      </c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91"/>
      <c r="Q33" s="1"/>
    </row>
    <row hidden="true" outlineLevel="1" r="34">
      <c r="A34" s="88"/>
      <c r="B34" s="90" t="str">
        <v>内容素材制作（费率）</v>
      </c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91"/>
      <c r="Q34" s="1"/>
    </row>
    <row hidden="true" outlineLevel="1" r="35">
      <c r="A35" s="88"/>
      <c r="B35" s="90" t="str">
        <v>公关费用（费率）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91"/>
      <c r="Q35" s="1"/>
    </row>
    <row hidden="true" outlineLevel="1" r="36">
      <c r="A36" s="88"/>
      <c r="B36" s="90" t="str">
        <v>达人种草、样机及加热（费率）</v>
      </c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88"/>
      <c r="P36" s="91"/>
      <c r="Q36" s="1"/>
    </row>
    <row r="37">
      <c r="B37" s="85" t="str">
        <v>效果广告</v>
      </c>
      <c r="C37" s="84">
        <f>SUM(C38:C40)</f>
      </c>
      <c r="D37" s="84">
        <f>SUM(D38:D40)</f>
      </c>
      <c r="E37" s="84">
        <f>SUM(E38:E40)</f>
      </c>
      <c r="F37" s="84">
        <f>SUM(F38:F40)</f>
      </c>
      <c r="G37" s="84">
        <f>SUM(G38:G40)</f>
      </c>
      <c r="H37" s="84">
        <f>SUM(H38:H40)</f>
      </c>
      <c r="I37" s="84">
        <f>SUM(I38:I40)</f>
      </c>
      <c r="J37" s="84">
        <f>SUM(J38:J40)</f>
      </c>
      <c r="K37" s="84">
        <f>SUM(K38:K40)</f>
      </c>
      <c r="L37" s="84">
        <f>SUM(L38:L40)</f>
      </c>
      <c r="M37" s="84">
        <f>SUM(M38:M40)</f>
      </c>
      <c r="N37" s="84">
        <f>SUM(N38:N40)</f>
      </c>
      <c r="O37" s="84">
        <f>SUM(C37:N37)</f>
      </c>
      <c r="P37" s="86">
        <f>O37/$O$16</f>
      </c>
      <c r="Q37" s="1"/>
    </row>
    <row r="38">
      <c r="A38" s="88"/>
      <c r="B38" s="90" t="str">
        <v>站内投放</v>
      </c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88"/>
      <c r="P38" s="91">
        <f>O38/$O$16</f>
      </c>
      <c r="Q38" s="1" t="str">
        <v>投放填写</v>
      </c>
    </row>
    <row r="39">
      <c r="A39" s="88"/>
      <c r="B39" s="90" t="str">
        <v>千川投放</v>
      </c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88">
        <f>SUM(C39:N39)</f>
      </c>
      <c r="P39" s="91">
        <f>O39/$O$16</f>
      </c>
      <c r="Q39" s="1" t="str">
        <v>投放填写</v>
      </c>
    </row>
    <row collapsed="true" r="40">
      <c r="A40" s="88"/>
      <c r="B40" s="90" t="str">
        <v>站外投放</v>
      </c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88">
        <f>SUM(C40:N40)</f>
      </c>
      <c r="P40" s="91">
        <f>O40/$O$16</f>
      </c>
      <c r="Q40" s="1" t="str">
        <v>投放填写</v>
      </c>
    </row>
    <row hidden="true" outlineLevel="1" r="41">
      <c r="A41" s="88"/>
      <c r="B41" s="90" t="str">
        <v>站内投放（费率）</v>
      </c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91">
        <f>O38/$O$16</f>
      </c>
      <c r="Q41" s="1" t="str">
        <v>投放填写</v>
      </c>
    </row>
    <row hidden="true" outlineLevel="1" r="42">
      <c r="A42" s="88"/>
      <c r="B42" s="90" t="str">
        <v>千川投放（费率）</v>
      </c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91">
        <f>O39/$O$16</f>
      </c>
      <c r="Q42" s="1" t="str">
        <v>投放填写</v>
      </c>
    </row>
    <row hidden="true" outlineLevel="1" r="43">
      <c r="A43" s="88"/>
      <c r="B43" s="90" t="str">
        <v>站外投放（费率）</v>
      </c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91">
        <f>O40/$O$16</f>
      </c>
      <c r="Q43" s="1" t="str">
        <v>投放填写</v>
      </c>
    </row>
    <row r="44">
      <c r="B44" s="85" t="str">
        <v>线上营销费用</v>
      </c>
      <c r="C44" s="84">
        <f>SUM(C45:C46)</f>
      </c>
      <c r="D44" s="84">
        <f>SUM(D45:D46)</f>
      </c>
      <c r="E44" s="84">
        <f>SUM(E45:E46)</f>
      </c>
      <c r="F44" s="84">
        <f>SUM(F45:F46)</f>
      </c>
      <c r="G44" s="84">
        <f>SUM(G45:G46)</f>
      </c>
      <c r="H44" s="84">
        <f>SUM(H45:H46)</f>
      </c>
      <c r="I44" s="84">
        <f>SUM(I45:I46)</f>
      </c>
      <c r="J44" s="84">
        <f>SUM(J45:J46)</f>
      </c>
      <c r="K44" s="84">
        <f>SUM(K45:K46)</f>
      </c>
      <c r="L44" s="84">
        <f>SUM(L45:L46)</f>
      </c>
      <c r="M44" s="84">
        <f>SUM(M45:M46)</f>
      </c>
      <c r="N44" s="84">
        <f>SUM(N45:N46)</f>
      </c>
      <c r="O44" s="84">
        <f>SUM(C44:N44)</f>
      </c>
      <c r="P44" s="86">
        <f>O44/$O$16</f>
      </c>
      <c r="Q44" s="1"/>
    </row>
    <row r="45">
      <c r="A45" s="88"/>
      <c r="B45" s="90" t="str">
        <v>直播费用</v>
      </c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8">
        <f>SUM(C45:N45)</f>
      </c>
      <c r="P45" s="91">
        <v>0.01</v>
      </c>
      <c r="Q45" s="1" t="str">
        <v>达人填写</v>
      </c>
    </row>
    <row r="46">
      <c r="A46" s="88"/>
      <c r="B46" s="90" t="str">
        <v>赠品费用</v>
      </c>
      <c r="C46" s="89">
        <f>C16*$P$46</f>
      </c>
      <c r="D46" s="89">
        <f>D16*$P$46</f>
      </c>
      <c r="E46" s="89">
        <f>E16*$P$46</f>
      </c>
      <c r="F46" s="89">
        <f>F16*$P$46</f>
      </c>
      <c r="G46" s="89">
        <f>G16*$P$46</f>
      </c>
      <c r="H46" s="89">
        <f>H16*$P$46</f>
      </c>
      <c r="I46" s="89">
        <f>I16*$P$46</f>
      </c>
      <c r="J46" s="89">
        <f>J16*$P$46</f>
      </c>
      <c r="K46" s="89">
        <f>K16*$P$46</f>
      </c>
      <c r="L46" s="89">
        <f>L16*$P$46</f>
      </c>
      <c r="M46" s="89">
        <f>M16*$P$46</f>
      </c>
      <c r="N46" s="89">
        <f>N16*$P$46</f>
      </c>
      <c r="O46" s="88">
        <f>SUM(C46:N46)</f>
      </c>
      <c r="P46" s="91">
        <v>0.02</v>
      </c>
      <c r="Q46" s="90" t="str">
        <v>渠道填写</v>
      </c>
    </row>
    <row r="47">
      <c r="B47" s="85" t="str">
        <v>线下市场费用</v>
      </c>
      <c r="C47" s="84">
        <f>SUM(C48:C51)</f>
      </c>
      <c r="D47" s="84">
        <f>SUM(D48:D51)</f>
      </c>
      <c r="E47" s="84">
        <f>SUM(E48:E51)</f>
      </c>
      <c r="F47" s="84">
        <f>SUM(F48:F51)</f>
      </c>
      <c r="G47" s="84">
        <f>SUM(G48:G51)</f>
      </c>
      <c r="H47" s="84">
        <f>SUM(H48:H51)</f>
      </c>
      <c r="I47" s="84">
        <f>SUM(I48:I51)</f>
      </c>
      <c r="J47" s="84">
        <f>SUM(J48:J51)</f>
      </c>
      <c r="K47" s="84">
        <f>SUM(K48:K51)</f>
      </c>
      <c r="L47" s="84">
        <f>SUM(L48:L51)</f>
      </c>
      <c r="M47" s="84">
        <f>SUM(M48:M51)</f>
      </c>
      <c r="N47" s="84">
        <f>SUM(N48:N51)</f>
      </c>
      <c r="O47" s="84">
        <f>SUM(C47:N47)</f>
      </c>
      <c r="P47" s="86">
        <f>O47/$O$16</f>
      </c>
      <c r="Q47" s="1"/>
    </row>
    <row r="48">
      <c r="A48" s="88"/>
      <c r="B48" s="90" t="str">
        <v>线下渠道展陈、促销费用</v>
      </c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8">
        <f>SUM(C48:N48)</f>
      </c>
      <c r="P48" s="91">
        <f>O48/$O$16</f>
      </c>
      <c r="Q48" s="90" t="str">
        <v>线下门店</v>
      </c>
    </row>
    <row r="49">
      <c r="A49" s="88"/>
      <c r="B49" s="90" t="str">
        <v>租金+物业+水电</v>
      </c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8">
        <f>SUM(C49:N49)</f>
      </c>
      <c r="P49" s="91">
        <f>O49/$O$16</f>
      </c>
      <c r="Q49" s="90" t="str">
        <v>线下门店</v>
      </c>
    </row>
    <row r="50">
      <c r="A50" s="88"/>
      <c r="B50" s="90" t="str">
        <v>门店人工</v>
      </c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8">
        <f>SUM(C50:N50)</f>
      </c>
      <c r="P50" s="91">
        <f>O50/$O$16</f>
      </c>
      <c r="Q50" s="90" t="str">
        <v>线下门店</v>
      </c>
    </row>
    <row r="51">
      <c r="B51" s="90" t="str">
        <v>门店展陈装修等其他</v>
      </c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8">
        <f>SUM(C51:N51)</f>
      </c>
      <c r="P51" s="91">
        <f>O51/$O$16</f>
      </c>
      <c r="Q51" s="90" t="str">
        <v>线下门店</v>
      </c>
    </row>
    <row r="52">
      <c r="B52" s="83" t="str">
        <v>市场投入费用</v>
      </c>
      <c r="C52" s="81">
        <f>SUM(C26,C37,C44,C47)</f>
      </c>
      <c r="D52" s="81">
        <f>SUM(D26,D37,D44,D47)</f>
      </c>
      <c r="E52" s="81">
        <f>SUM(E26,E37,E44,E47)</f>
      </c>
      <c r="F52" s="81">
        <f>SUM(F26,F37,F44,F47)</f>
      </c>
      <c r="G52" s="81">
        <f>SUM(G26,G37,G44,G47)</f>
      </c>
      <c r="H52" s="81">
        <f>SUM(H26,H37,H44,H47)</f>
      </c>
      <c r="I52" s="81">
        <f>SUM(I26,I37,I44,I47)</f>
      </c>
      <c r="J52" s="81">
        <f>SUM(J26,J37,J44,J47)</f>
      </c>
      <c r="K52" s="81">
        <f>SUM(K26,K37,K44,K47)</f>
      </c>
      <c r="L52" s="81">
        <f>SUM(L26,L37,L44,L47)</f>
      </c>
      <c r="M52" s="81">
        <f>SUM(M26,M37,M44,M47)</f>
      </c>
      <c r="N52" s="81">
        <f>SUM(N26,N37,N44,N47)</f>
      </c>
      <c r="O52" s="81">
        <f>SUM(C52:N52)</f>
      </c>
      <c r="P52" s="82">
        <f>O52/$O$16</f>
      </c>
      <c r="Q52" s="1"/>
    </row>
    <row r="53">
      <c r="A53" s="88"/>
      <c r="B53" s="90" t="str">
        <v>平台佣金</v>
      </c>
      <c r="C53" s="89">
        <f>C16*$P$53</f>
      </c>
      <c r="D53" s="89">
        <f>D16*$P$53</f>
      </c>
      <c r="E53" s="89">
        <f>E16*$P$53</f>
      </c>
      <c r="F53" s="89">
        <f>F16*$P$53</f>
      </c>
      <c r="G53" s="89">
        <f>G16*$P$53</f>
      </c>
      <c r="H53" s="89">
        <f>H16*$P$53</f>
      </c>
      <c r="I53" s="89">
        <f>I16*$P$53</f>
      </c>
      <c r="J53" s="89">
        <f>J16*$P$53</f>
      </c>
      <c r="K53" s="89">
        <f>K16*$P$53</f>
      </c>
      <c r="L53" s="89">
        <f>L16*$P$53</f>
      </c>
      <c r="M53" s="89">
        <f>M16*$P$53</f>
      </c>
      <c r="N53" s="89">
        <f>N16*$P$53</f>
      </c>
      <c r="O53" s="88">
        <f>SUM(C53:N53)</f>
      </c>
      <c r="P53" s="91">
        <v>0.053</v>
      </c>
      <c r="Q53" s="1"/>
    </row>
    <row r="54">
      <c r="A54" s="88"/>
      <c r="B54" s="90" t="str">
        <v>平台其他费用</v>
      </c>
      <c r="C54" s="89">
        <f>C16*$P$54</f>
      </c>
      <c r="D54" s="89">
        <f>D16*$P$54</f>
      </c>
      <c r="E54" s="89">
        <f>E16*$P$54</f>
      </c>
      <c r="F54" s="89">
        <f>F16*$P$54</f>
      </c>
      <c r="G54" s="89">
        <f>G16*$P$54</f>
      </c>
      <c r="H54" s="89">
        <f>H16*$P$54</f>
      </c>
      <c r="I54" s="89">
        <f>I16*$P$54</f>
      </c>
      <c r="J54" s="89">
        <f>J16*$P$54</f>
      </c>
      <c r="K54" s="89">
        <f>K16*$P$54</f>
      </c>
      <c r="L54" s="89">
        <f>L16*$P$54</f>
      </c>
      <c r="M54" s="89">
        <f>M16*$P$54</f>
      </c>
      <c r="N54" s="89">
        <f>N16*$P$54</f>
      </c>
      <c r="O54" s="88">
        <f>SUM(C54:N54)</f>
      </c>
      <c r="P54" s="91">
        <v>0.014</v>
      </c>
      <c r="Q54" s="1"/>
    </row>
    <row r="55">
      <c r="A55" s="88"/>
      <c r="B55" s="90" t="str">
        <v>售后费用</v>
      </c>
      <c r="C55" s="89">
        <v>5381.425762536997</v>
      </c>
      <c r="D55" s="89">
        <v>3518.9750113719447</v>
      </c>
      <c r="E55" s="89">
        <v>2744.7731056565485</v>
      </c>
      <c r="F55" s="89">
        <v>4224.050018770818</v>
      </c>
      <c r="G55" s="89">
        <v>3627.6022667930342</v>
      </c>
      <c r="H55" s="89">
        <v>2541.3857414574613</v>
      </c>
      <c r="I55" s="89">
        <v>3540.854287186602</v>
      </c>
      <c r="J55" s="89">
        <v>2739.391786858228</v>
      </c>
      <c r="K55" s="89">
        <v>3774.7086257275287</v>
      </c>
      <c r="L55" s="89">
        <v>2979.4780643956005</v>
      </c>
      <c r="M55" s="89">
        <v>2609.67475341116</v>
      </c>
      <c r="N55" s="89">
        <v>2546.1991312013447</v>
      </c>
      <c r="O55" s="88">
        <f>SUM(C55:N55)</f>
      </c>
      <c r="P55" s="91">
        <v>0.03</v>
      </c>
      <c r="Q55" s="1"/>
    </row>
    <row r="56">
      <c r="A56" s="88"/>
      <c r="B56" s="90" t="str">
        <v>短信及店铺软件</v>
      </c>
      <c r="C56" s="89">
        <f>C16*$P$56</f>
      </c>
      <c r="D56" s="89">
        <f>D16*$P$56</f>
      </c>
      <c r="E56" s="89">
        <f>E16*$P$56</f>
      </c>
      <c r="F56" s="89">
        <f>F16*$P$56</f>
      </c>
      <c r="G56" s="89">
        <f>G16*$P$56</f>
      </c>
      <c r="H56" s="89">
        <f>H16*$P$56</f>
      </c>
      <c r="I56" s="89">
        <f>I16*$P$56</f>
      </c>
      <c r="J56" s="89">
        <f>J16*$P$56</f>
      </c>
      <c r="K56" s="89">
        <f>K16*$P$56</f>
      </c>
      <c r="L56" s="89">
        <f>L16*$P$56</f>
      </c>
      <c r="M56" s="89">
        <f>M16*$P$56</f>
      </c>
      <c r="N56" s="89">
        <f>N16*$P$56</f>
      </c>
      <c r="O56" s="88">
        <f>SUM(C56:N56)</f>
      </c>
      <c r="P56" s="91">
        <v>0.001</v>
      </c>
      <c r="Q56" s="1"/>
    </row>
    <row r="57">
      <c r="A57" s="88"/>
      <c r="B57" s="90" t="str">
        <v>其他运营费用（咨询调研等）</v>
      </c>
      <c r="C57" s="89">
        <v>636.7300582629173</v>
      </c>
      <c r="D57" s="89"/>
      <c r="E57" s="89"/>
      <c r="F57" s="89"/>
      <c r="G57" s="89">
        <v>254.69202330516688</v>
      </c>
      <c r="H57" s="89"/>
      <c r="I57" s="89"/>
      <c r="J57" s="89"/>
      <c r="K57" s="89"/>
      <c r="L57" s="89">
        <v>254.69202330516688</v>
      </c>
      <c r="M57" s="89"/>
      <c r="N57" s="89">
        <v>764.0760699155006</v>
      </c>
      <c r="O57" s="88">
        <f>SUM(C57:N57)</f>
      </c>
      <c r="P57" s="91">
        <f>O57/$O$16</f>
      </c>
      <c r="Q57" s="90"/>
    </row>
    <row r="58">
      <c r="B58" s="83" t="str">
        <v>店铺运营费用</v>
      </c>
      <c r="C58" s="81">
        <f>SUM(C53:C57)</f>
      </c>
      <c r="D58" s="81">
        <f>SUM(D53:D57)</f>
      </c>
      <c r="E58" s="81">
        <f>SUM(E53:E57)</f>
      </c>
      <c r="F58" s="81">
        <f>SUM(F53:F57)</f>
      </c>
      <c r="G58" s="81">
        <f>SUM(G53:G57)</f>
      </c>
      <c r="H58" s="81">
        <f>SUM(H53:H57)</f>
      </c>
      <c r="I58" s="81">
        <f>SUM(I53:I57)</f>
      </c>
      <c r="J58" s="81">
        <f>SUM(J53:J57)</f>
      </c>
      <c r="K58" s="81">
        <f>SUM(K53:K57)</f>
      </c>
      <c r="L58" s="81">
        <f>SUM(L53:L57)</f>
      </c>
      <c r="M58" s="81">
        <f>SUM(M53:M57)</f>
      </c>
      <c r="N58" s="81">
        <f>SUM(N53:N57)</f>
      </c>
      <c r="O58" s="81">
        <f>SUM(C58:N58)</f>
      </c>
      <c r="P58" s="82">
        <f>O58/$O$16</f>
      </c>
      <c r="Q58" s="1"/>
    </row>
    <row r="59">
      <c r="A59" s="97"/>
      <c r="B59" s="98" t="str">
        <v>A&amp;P 合计数</v>
      </c>
      <c r="C59" s="95">
        <f>SUM(C52,C58)</f>
      </c>
      <c r="D59" s="95">
        <f>SUM(D52,D58)</f>
      </c>
      <c r="E59" s="95">
        <f>SUM(E52,E58)</f>
      </c>
      <c r="F59" s="95">
        <f>SUM(F52,F58)</f>
      </c>
      <c r="G59" s="95">
        <f>SUM(G52,G58)</f>
      </c>
      <c r="H59" s="95">
        <f>SUM(H52,H58)</f>
      </c>
      <c r="I59" s="95">
        <f>SUM(I52,I58)</f>
      </c>
      <c r="J59" s="95">
        <f>SUM(J52,J58)</f>
      </c>
      <c r="K59" s="95">
        <f>SUM(K52,K58)</f>
      </c>
      <c r="L59" s="95">
        <f>SUM(L52,L58)</f>
      </c>
      <c r="M59" s="95">
        <f>SUM(M52,M58)</f>
      </c>
      <c r="N59" s="95">
        <f>SUM(N52,N58)</f>
      </c>
      <c r="O59" s="95">
        <f>SUM(C59:N59)</f>
      </c>
      <c r="P59" s="96">
        <f>O59/$O$16</f>
      </c>
      <c r="Q59" s="135"/>
      <c r="R59" s="106"/>
    </row>
    <row r="60">
      <c r="A60" s="97"/>
      <c r="B60" s="98" t="str">
        <v>店铺利润</v>
      </c>
      <c r="C60" s="95">
        <f>C22-C59</f>
      </c>
      <c r="D60" s="95">
        <f>D22-D59</f>
      </c>
      <c r="E60" s="95">
        <f>E22-E59</f>
      </c>
      <c r="F60" s="95">
        <f>F22-F59</f>
      </c>
      <c r="G60" s="95">
        <f>G22-G59</f>
      </c>
      <c r="H60" s="95">
        <f>H22-H59</f>
      </c>
      <c r="I60" s="95">
        <f>I22-I59</f>
      </c>
      <c r="J60" s="95">
        <f>J22-J59</f>
      </c>
      <c r="K60" s="95">
        <f>K22-K59</f>
      </c>
      <c r="L60" s="95">
        <f>L22-L59</f>
      </c>
      <c r="M60" s="95">
        <f>M22-M59</f>
      </c>
      <c r="N60" s="95">
        <f>N22-N59</f>
      </c>
      <c r="O60" s="95">
        <f>SUM(C60:N60)</f>
      </c>
      <c r="P60" s="96">
        <f>O60/$O$16</f>
      </c>
      <c r="Q60" s="135"/>
      <c r="R60" s="107"/>
    </row>
    <row r="61">
      <c r="Q61" s="1"/>
    </row>
    <row r="62">
      <c r="B62" s="179" t="str">
        <v>辅助计算</v>
      </c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58"/>
      <c r="Q62" s="1"/>
    </row>
    <row r="63">
      <c r="B63" s="181" t="str">
        <v>国补后价格(销量加权)</v>
      </c>
      <c r="C63" s="181">
        <v>366.6</v>
      </c>
      <c r="D63" s="181">
        <v>362.6</v>
      </c>
      <c r="E63" s="181">
        <v>362.8</v>
      </c>
      <c r="F63" s="181">
        <v>357</v>
      </c>
      <c r="G63" s="181">
        <v>376.4</v>
      </c>
      <c r="H63" s="181">
        <v>376.1</v>
      </c>
      <c r="I63" s="181">
        <v>401.9</v>
      </c>
      <c r="J63" s="181">
        <v>400.9</v>
      </c>
      <c r="K63" s="181">
        <v>401.8</v>
      </c>
      <c r="L63" s="181">
        <v>398.6</v>
      </c>
      <c r="M63" s="181">
        <v>397.7</v>
      </c>
      <c r="N63" s="181">
        <v>392.4</v>
      </c>
      <c r="Q63" s="1"/>
    </row>
    <row r="64">
      <c r="B64" s="181" t="str">
        <v>成本不含税（销量加权）</v>
      </c>
      <c r="C64" s="181">
        <v>158.8</v>
      </c>
      <c r="D64" s="181">
        <v>156.4</v>
      </c>
      <c r="E64" s="181">
        <v>165.1</v>
      </c>
      <c r="F64" s="181">
        <v>162.9</v>
      </c>
      <c r="G64" s="181">
        <v>153</v>
      </c>
      <c r="H64" s="181">
        <v>155.3</v>
      </c>
      <c r="I64" s="181">
        <v>153.3</v>
      </c>
      <c r="J64" s="181">
        <v>152.5</v>
      </c>
      <c r="K64" s="181">
        <v>150.2</v>
      </c>
      <c r="L64" s="181">
        <v>146.6</v>
      </c>
      <c r="M64" s="181">
        <v>142.9</v>
      </c>
      <c r="N64" s="181">
        <v>139.6</v>
      </c>
      <c r="Q64" s="1"/>
    </row>
    <row r="65">
      <c r="B65" s="179" t="str">
        <v>退后销量</v>
      </c>
      <c r="C65" s="178">
        <f>C8/C63</f>
      </c>
      <c r="D65" s="178">
        <f>D8/D63</f>
      </c>
      <c r="E65" s="178">
        <f>E8/E63</f>
      </c>
      <c r="F65" s="178">
        <f>F8/F63</f>
      </c>
      <c r="G65" s="178">
        <f>G8/G63</f>
      </c>
      <c r="H65" s="178">
        <f>H8/H63</f>
      </c>
      <c r="I65" s="178">
        <f>I8/I63</f>
      </c>
      <c r="J65" s="178">
        <f>J8/J63</f>
      </c>
      <c r="K65" s="178">
        <f>K8/K63</f>
      </c>
      <c r="L65" s="178">
        <f>L8/L63</f>
      </c>
      <c r="M65" s="178">
        <f>M8/M63</f>
      </c>
      <c r="N65" s="178">
        <f>N8/N63</f>
      </c>
      <c r="Q65" s="1"/>
    </row>
    <row r="66">
      <c r="Q66" s="1"/>
    </row>
    <row r="67">
      <c r="Q67" s="1"/>
    </row>
    <row r="68">
      <c r="Q68" s="1"/>
    </row>
    <row r="69">
      <c r="Q69" s="1"/>
    </row>
    <row r="70">
      <c r="Q70" s="1"/>
    </row>
    <row r="71">
      <c r="Q71" s="1"/>
    </row>
    <row r="72">
      <c r="Q72" s="1"/>
    </row>
    <row r="73">
      <c r="Q73" s="1"/>
    </row>
    <row r="74">
      <c r="Q74" s="1"/>
    </row>
    <row r="75">
      <c r="Q75" s="1"/>
    </row>
    <row r="76">
      <c r="Q76" s="1"/>
    </row>
    <row r="77">
      <c r="Q77" s="1"/>
    </row>
    <row r="78">
      <c r="Q78" s="1"/>
    </row>
    <row r="79">
      <c r="Q79" s="1"/>
    </row>
    <row r="80">
      <c r="Q80" s="1"/>
    </row>
    <row r="81">
      <c r="C81" s="158">
        <f>C16-C18-C20-C26-C37-C44-C47-C58-C60</f>
      </c>
      <c r="D81" s="158">
        <f>D16-D18-D20-D26-D37-D44-D47-D58-D60</f>
      </c>
      <c r="E81" s="158">
        <f>E16-E18-E20-E26-E37-E44-E47-E58-E60</f>
      </c>
      <c r="F81" s="158">
        <f>F16-F18-F20-F26-F37-F44-F47-F58-F60</f>
      </c>
      <c r="G81" s="158">
        <f>G16-G18-G20-G26-G37-G44-G47-G58-G60</f>
      </c>
      <c r="H81" s="158">
        <f>H16-H18-H20-H26-H37-H44-H47-H58-H60</f>
      </c>
      <c r="I81" s="158">
        <f>I16-I18-I20-I26-I37-I44-I47-I58-I60</f>
      </c>
      <c r="J81" s="158">
        <f>J16-J18-J20-J26-J37-J44-J47-J58-J60</f>
      </c>
      <c r="K81" s="158">
        <f>K16-K18-K20-K26-K37-K44-K47-K58-K60</f>
      </c>
      <c r="L81" s="158">
        <f>L16-L18-L20-L26-L37-L44-L47-L58-L60</f>
      </c>
      <c r="M81" s="158">
        <f>M16-M18-M20-M26-M37-M44-M47-M58-M60</f>
      </c>
      <c r="N81" s="158">
        <f>N16-N18-N20-N26-N37-N44-N47-N58-N60</f>
      </c>
      <c r="O81" s="158">
        <f>O16-O18-O20-O26-O37-O44-O47-O58-O60</f>
      </c>
      <c r="Q81" s="1"/>
    </row>
    <row r="82">
      <c r="C82" s="119">
        <f>C10-C11-C12-C13-C15</f>
      </c>
      <c r="D82" s="119">
        <f>D10-D11-D12-D13-D15</f>
      </c>
      <c r="E82" s="119">
        <f>E10-E11-E12-E13-E15</f>
      </c>
      <c r="F82" s="119">
        <f>F10-F11-F12-F13-F15</f>
      </c>
      <c r="G82" s="119">
        <f>G10-G11-G12-G13-G15</f>
      </c>
      <c r="H82" s="119">
        <f>H10-H11-H12-H13-H15</f>
      </c>
      <c r="I82" s="119">
        <f>I10-I11-I12-I13-I15</f>
      </c>
      <c r="J82" s="119">
        <f>J10-J11-J12-J13-J15</f>
      </c>
      <c r="K82" s="119">
        <f>K10-K11-K12-K13-K15</f>
      </c>
      <c r="L82" s="119">
        <f>L10-L11-L12-L13-L15</f>
      </c>
      <c r="M82" s="119">
        <f>M10-M11-M12-M13-M15</f>
      </c>
      <c r="N82" s="119">
        <f>N10-N11-N12-N13-N15</f>
      </c>
      <c r="O82" s="119">
        <f>O10-O11-O12-O13-O15</f>
      </c>
      <c r="Q82" s="1"/>
    </row>
    <row r="83">
      <c r="Q83" s="1"/>
    </row>
    <row r="84">
      <c r="Q84" s="1"/>
    </row>
    <row r="85">
      <c r="Q85" s="1"/>
    </row>
    <row r="86">
      <c r="Q86" s="1"/>
    </row>
    <row r="87">
      <c r="Q87" s="1"/>
    </row>
    <row r="88">
      <c r="Q88" s="1"/>
    </row>
    <row r="89">
      <c r="Q89" s="1"/>
    </row>
    <row r="90">
      <c r="Q90" s="1"/>
    </row>
    <row r="91">
      <c r="Q91" s="1"/>
    </row>
    <row r="92">
      <c r="Q92" s="1"/>
    </row>
    <row r="93">
      <c r="B93" s="1" t="str">
        <v>分摊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Q93" s="1"/>
    </row>
    <row r="94">
      <c r="B94" s="85" t="str">
        <v>品牌及内容费用</v>
      </c>
      <c r="C94" s="127">
        <f>SUM(C95:C99)</f>
      </c>
      <c r="D94" s="127">
        <f>SUM(D95:D99)</f>
      </c>
      <c r="E94" s="127">
        <f>SUM(E95:E99)</f>
      </c>
      <c r="F94" s="127">
        <f>SUM(F95:F99)</f>
      </c>
      <c r="G94" s="127">
        <f>SUM(G95:G99)</f>
      </c>
      <c r="H94" s="127">
        <f>SUM(H95:H99)</f>
      </c>
      <c r="I94" s="127">
        <f>SUM(I95:I99)</f>
      </c>
      <c r="J94" s="127">
        <f>SUM(J95:J99)</f>
      </c>
      <c r="K94" s="127">
        <f>SUM(K95:K99)</f>
      </c>
      <c r="L94" s="127">
        <f>SUM(L95:L99)</f>
      </c>
      <c r="M94" s="127">
        <f>SUM(M95:M99)</f>
      </c>
      <c r="N94" s="127">
        <f>SUM(N95:N99)</f>
      </c>
      <c r="Q94" s="1"/>
    </row>
    <row r="95">
      <c r="B95" s="90" t="str">
        <v>展会</v>
      </c>
      <c r="C95" s="170">
        <f>'线下门店-小计'!C27*(C15/('26年全渠道汇总'!C15-'线下门店-小计'!C15))</f>
      </c>
      <c r="D95" s="170">
        <f>'线下门店-小计'!D27*(D15/('26年全渠道汇总'!D15-'线下门店-小计'!D15))</f>
      </c>
      <c r="E95" s="170">
        <f>'线下门店-小计'!E27*(E15/('26年全渠道汇总'!E15-'线下门店-小计'!E15))</f>
      </c>
      <c r="F95" s="170">
        <f>'线下门店-小计'!F27*(F15/('26年全渠道汇总'!F15-'线下门店-小计'!F15))</f>
      </c>
      <c r="G95" s="170">
        <f>'线下门店-小计'!G27*(G15/('26年全渠道汇总'!G15-'线下门店-小计'!G15))</f>
      </c>
      <c r="H95" s="170">
        <f>'线下门店-小计'!H27*(H15/('26年全渠道汇总'!H15-'线下门店-小计'!H15))</f>
      </c>
      <c r="I95" s="170">
        <f>'线下门店-小计'!I27*(I15/('26年全渠道汇总'!I15-'线下门店-小计'!I15))</f>
      </c>
      <c r="J95" s="170">
        <f>'线下门店-小计'!J27*(J15/('26年全渠道汇总'!J15-'线下门店-小计'!J15))</f>
      </c>
      <c r="K95" s="170">
        <f>'线下门店-小计'!K27*(K15/('26年全渠道汇总'!K15-'线下门店-小计'!K15))</f>
      </c>
      <c r="L95" s="170">
        <f>'线下门店-小计'!L27*(L15/('26年全渠道汇总'!L15-'线下门店-小计'!L15))</f>
      </c>
      <c r="M95" s="170">
        <f>'线下门店-小计'!M27*(M15/('26年全渠道汇总'!M15-'线下门店-小计'!M15))</f>
      </c>
      <c r="N95" s="170">
        <f>'线下门店-小计'!N27*(N15/('26年全渠道汇总'!N15-'线下门店-小计'!N15))</f>
      </c>
      <c r="Q95" s="1"/>
    </row>
    <row r="96">
      <c r="B96" s="90" t="str">
        <v>品牌营销</v>
      </c>
      <c r="C96" s="170">
        <f>'线下门店-小计'!C28*(C15/('26年全渠道汇总'!C15-'线下门店-小计'!C15))</f>
      </c>
      <c r="D96" s="170">
        <f>'线下门店-小计'!D28*(D15/('26年全渠道汇总'!D15-'线下门店-小计'!D15))</f>
      </c>
      <c r="E96" s="170">
        <f>'线下门店-小计'!E28*(E15/('26年全渠道汇总'!E15-'线下门店-小计'!E15))</f>
      </c>
      <c r="F96" s="170">
        <f>'线下门店-小计'!F28*(F15/('26年全渠道汇总'!F15-'线下门店-小计'!F15))</f>
      </c>
      <c r="G96" s="170">
        <f>'线下门店-小计'!G28*(G15/('26年全渠道汇总'!G15-'线下门店-小计'!G15))</f>
      </c>
      <c r="H96" s="170">
        <f>'线下门店-小计'!H28*(H15/('26年全渠道汇总'!H15-'线下门店-小计'!H15))</f>
      </c>
      <c r="I96" s="170">
        <f>'线下门店-小计'!I28*(I15/('26年全渠道汇总'!I15-'线下门店-小计'!I15))</f>
      </c>
      <c r="J96" s="170">
        <f>'线下门店-小计'!J28*(J15/('26年全渠道汇总'!J15-'线下门店-小计'!J15))</f>
      </c>
      <c r="K96" s="170">
        <f>'线下门店-小计'!K28*(K15/('26年全渠道汇总'!K15-'线下门店-小计'!K15))</f>
      </c>
      <c r="L96" s="170">
        <f>'线下门店-小计'!L28*(L15/('26年全渠道汇总'!L15-'线下门店-小计'!L15))</f>
      </c>
      <c r="M96" s="170">
        <f>'线下门店-小计'!M28*(M15/('26年全渠道汇总'!M15-'线下门店-小计'!M15))</f>
      </c>
      <c r="N96" s="170">
        <f>'线下门店-小计'!N28*(N15/('26年全渠道汇总'!N15-'线下门店-小计'!N15))</f>
      </c>
      <c r="Q96" s="1"/>
    </row>
    <row r="97">
      <c r="B97" s="90" t="str">
        <v>内容素材制作</v>
      </c>
      <c r="C97" s="170">
        <f>'线下门店-小计'!C29*(C15/('26年全渠道汇总'!C15-'线下门店-小计'!C15))</f>
      </c>
      <c r="D97" s="170">
        <f>'线下门店-小计'!D29*(D15/('26年全渠道汇总'!D15-'线下门店-小计'!D15))</f>
      </c>
      <c r="E97" s="170">
        <f>'线下门店-小计'!E29*(E15/('26年全渠道汇总'!E15-'线下门店-小计'!E15))</f>
      </c>
      <c r="F97" s="170">
        <f>'线下门店-小计'!F29*(F15/('26年全渠道汇总'!F15-'线下门店-小计'!F15))</f>
      </c>
      <c r="G97" s="170">
        <f>'线下门店-小计'!G29*(G15/('26年全渠道汇总'!G15-'线下门店-小计'!G15))</f>
      </c>
      <c r="H97" s="170">
        <f>'线下门店-小计'!H29*(H15/('26年全渠道汇总'!H15-'线下门店-小计'!H15))</f>
      </c>
      <c r="I97" s="170">
        <f>'线下门店-小计'!I29*(I15/('26年全渠道汇总'!I15-'线下门店-小计'!I15))</f>
      </c>
      <c r="J97" s="170">
        <f>'线下门店-小计'!J29*(J15/('26年全渠道汇总'!J15-'线下门店-小计'!J15))</f>
      </c>
      <c r="K97" s="170">
        <f>'线下门店-小计'!K29*(K15/('26年全渠道汇总'!K15-'线下门店-小计'!K15))</f>
      </c>
      <c r="L97" s="170">
        <f>'线下门店-小计'!L29*(L15/('26年全渠道汇总'!L15-'线下门店-小计'!L15))</f>
      </c>
      <c r="M97" s="170">
        <f>'线下门店-小计'!M29*(M15/('26年全渠道汇总'!M15-'线下门店-小计'!M15))</f>
      </c>
      <c r="N97" s="170">
        <f>'线下门店-小计'!N29*(N15/('26年全渠道汇总'!N15-'线下门店-小计'!N15))</f>
      </c>
      <c r="Q97" s="1"/>
    </row>
    <row r="98">
      <c r="B98" s="90" t="str">
        <v>公关费用</v>
      </c>
      <c r="C98" s="170">
        <f>'线下门店-小计'!C30*(C15/('26年全渠道汇总'!C15-'线下门店-小计'!C15))</f>
      </c>
      <c r="D98" s="170">
        <f>'线下门店-小计'!D30*(D15/('26年全渠道汇总'!D15-'线下门店-小计'!D15))</f>
      </c>
      <c r="E98" s="170">
        <f>'线下门店-小计'!E30*(E15/('26年全渠道汇总'!E15-'线下门店-小计'!E15))</f>
      </c>
      <c r="F98" s="170">
        <f>'线下门店-小计'!F30*(F15/('26年全渠道汇总'!F15-'线下门店-小计'!F15))</f>
      </c>
      <c r="G98" s="170">
        <f>'线下门店-小计'!G30*(G15/('26年全渠道汇总'!G15-'线下门店-小计'!G15))</f>
      </c>
      <c r="H98" s="170">
        <f>'线下门店-小计'!H30*(H15/('26年全渠道汇总'!H15-'线下门店-小计'!H15))</f>
      </c>
      <c r="I98" s="170">
        <f>'线下门店-小计'!I30*(I15/('26年全渠道汇总'!I15-'线下门店-小计'!I15))</f>
      </c>
      <c r="J98" s="170">
        <f>'线下门店-小计'!J30*(J15/('26年全渠道汇总'!J15-'线下门店-小计'!J15))</f>
      </c>
      <c r="K98" s="170">
        <f>'线下门店-小计'!K30*(K15/('26年全渠道汇总'!K15-'线下门店-小计'!K15))</f>
      </c>
      <c r="L98" s="170">
        <f>'线下门店-小计'!L30*(L15/('26年全渠道汇总'!L15-'线下门店-小计'!L15))</f>
      </c>
      <c r="M98" s="170">
        <f>'线下门店-小计'!M30*(M15/('26年全渠道汇总'!M15-'线下门店-小计'!M15))</f>
      </c>
      <c r="N98" s="170">
        <f>'线下门店-小计'!N30*(N15/('26年全渠道汇总'!N15-'线下门店-小计'!N15))</f>
      </c>
      <c r="Q98" s="1"/>
    </row>
    <row r="99">
      <c r="B99" s="90" t="str">
        <v>达人种草、样机及加热</v>
      </c>
      <c r="C99" s="170">
        <f>'线下门店-小计'!C31*(C15/('26年全渠道汇总'!C15-'线下门店-小计'!C15))</f>
      </c>
      <c r="D99" s="170">
        <f>'线下门店-小计'!D31*(D15/('26年全渠道汇总'!D15-'线下门店-小计'!D15))</f>
      </c>
      <c r="E99" s="170">
        <f>'线下门店-小计'!E31*(E15/('26年全渠道汇总'!E15-'线下门店-小计'!E15))</f>
      </c>
      <c r="F99" s="170">
        <f>'线下门店-小计'!F31*(F15/('26年全渠道汇总'!F15-'线下门店-小计'!F15))</f>
      </c>
      <c r="G99" s="170">
        <f>'线下门店-小计'!G31*(G15/('26年全渠道汇总'!G15-'线下门店-小计'!G15))</f>
      </c>
      <c r="H99" s="170">
        <f>'线下门店-小计'!H31*(H15/('26年全渠道汇总'!H15-'线下门店-小计'!H15))</f>
      </c>
      <c r="I99" s="170">
        <f>'线下门店-小计'!I31*(I15/('26年全渠道汇总'!I15-'线下门店-小计'!I15))</f>
      </c>
      <c r="J99" s="170">
        <f>'线下门店-小计'!J31*(J15/('26年全渠道汇总'!J15-'线下门店-小计'!J15))</f>
      </c>
      <c r="K99" s="170">
        <f>'线下门店-小计'!K31*(K15/('26年全渠道汇总'!K15-'线下门店-小计'!K15))</f>
      </c>
      <c r="L99" s="170">
        <f>'线下门店-小计'!L31*(L15/('26年全渠道汇总'!L15-'线下门店-小计'!L15))</f>
      </c>
      <c r="M99" s="170">
        <f>'线下门店-小计'!M31*(M15/('26年全渠道汇总'!M15-'线下门店-小计'!M15))</f>
      </c>
      <c r="N99" s="170">
        <f>'线下门店-小计'!N31*(N15/('26年全渠道汇总'!N15-'线下门店-小计'!N15))</f>
      </c>
      <c r="Q99" s="1"/>
    </row>
    <row r="100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Q100" s="1"/>
    </row>
    <row r="101">
      <c r="B101" s="1" t="str">
        <v>总计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Q101" s="1"/>
    </row>
    <row r="102">
      <c r="B102" s="85" t="str">
        <v>品牌及内容费用</v>
      </c>
      <c r="C102" s="127">
        <f>SUM(C103:C107)</f>
      </c>
      <c r="D102" s="127">
        <f>SUM(D103:D107)</f>
      </c>
      <c r="E102" s="127">
        <f>SUM(E103:E107)</f>
      </c>
      <c r="F102" s="127">
        <f>SUM(F103:F107)</f>
      </c>
      <c r="G102" s="127">
        <f>SUM(G103:G107)</f>
      </c>
      <c r="H102" s="127">
        <f>SUM(H103:H107)</f>
      </c>
      <c r="I102" s="127">
        <f>SUM(I103:I107)</f>
      </c>
      <c r="J102" s="127">
        <f>SUM(J103:J107)</f>
      </c>
      <c r="K102" s="127">
        <f>SUM(K103:K107)</f>
      </c>
      <c r="L102" s="127">
        <f>SUM(L103:L107)</f>
      </c>
      <c r="M102" s="127">
        <f>SUM(M103:M107)</f>
      </c>
      <c r="N102" s="127">
        <f>SUM(N103:N107)</f>
      </c>
      <c r="Q102" s="1"/>
    </row>
    <row r="103">
      <c r="B103" s="90" t="str">
        <v>展会</v>
      </c>
      <c r="C103" s="170">
        <f>C95+C27</f>
      </c>
      <c r="D103" s="170">
        <f>D95+D27</f>
      </c>
      <c r="E103" s="170">
        <f>E95+E27</f>
      </c>
      <c r="F103" s="170">
        <f>F95+F27</f>
      </c>
      <c r="G103" s="170">
        <f>G95+G27</f>
      </c>
      <c r="H103" s="170">
        <f>H95+H27</f>
      </c>
      <c r="I103" s="170">
        <f>I95+I27</f>
      </c>
      <c r="J103" s="170">
        <f>J95+J27</f>
      </c>
      <c r="K103" s="170">
        <f>K95+K27</f>
      </c>
      <c r="L103" s="170">
        <f>L95+L27</f>
      </c>
      <c r="M103" s="170">
        <f>M95+M27</f>
      </c>
      <c r="N103" s="170">
        <f>N95+N27</f>
      </c>
      <c r="Q103" s="1"/>
    </row>
    <row r="104">
      <c r="B104" s="90" t="str">
        <v>品牌营销</v>
      </c>
      <c r="C104" s="170">
        <f>C96+C28</f>
      </c>
      <c r="D104" s="170">
        <f>D96+D28</f>
      </c>
      <c r="E104" s="170">
        <f>E96+E28</f>
      </c>
      <c r="F104" s="170">
        <f>F96+F28</f>
      </c>
      <c r="G104" s="170">
        <f>G96+G28</f>
      </c>
      <c r="H104" s="170">
        <f>H96+H28</f>
      </c>
      <c r="I104" s="170">
        <f>I96+I28</f>
      </c>
      <c r="J104" s="170">
        <f>J96+J28</f>
      </c>
      <c r="K104" s="170">
        <f>K96+K28</f>
      </c>
      <c r="L104" s="170">
        <f>L96+L28</f>
      </c>
      <c r="M104" s="170">
        <f>M96+M28</f>
      </c>
      <c r="N104" s="170">
        <f>N96+N28</f>
      </c>
      <c r="Q104" s="1"/>
    </row>
    <row r="105">
      <c r="B105" s="90" t="str">
        <v>内容素材制作</v>
      </c>
      <c r="C105" s="170">
        <f>C97+C29</f>
      </c>
      <c r="D105" s="170">
        <f>D97+D29</f>
      </c>
      <c r="E105" s="170">
        <f>E97+E29</f>
      </c>
      <c r="F105" s="170">
        <f>F97+F29</f>
      </c>
      <c r="G105" s="170">
        <f>G97+G29</f>
      </c>
      <c r="H105" s="170">
        <f>H97+H29</f>
      </c>
      <c r="I105" s="170">
        <f>I97+I29</f>
      </c>
      <c r="J105" s="170">
        <f>J97+J29</f>
      </c>
      <c r="K105" s="170">
        <f>K97+K29</f>
      </c>
      <c r="L105" s="170">
        <f>L97+L29</f>
      </c>
      <c r="M105" s="170">
        <f>M97+M29</f>
      </c>
      <c r="N105" s="170">
        <f>N97+N29</f>
      </c>
      <c r="Q105" s="1"/>
    </row>
    <row r="106">
      <c r="B106" s="90" t="str">
        <v>公关费用</v>
      </c>
      <c r="C106" s="170">
        <f>C98+C30</f>
      </c>
      <c r="D106" s="170">
        <f>D98+D30</f>
      </c>
      <c r="E106" s="170">
        <f>E98+E30</f>
      </c>
      <c r="F106" s="170">
        <f>F98+F30</f>
      </c>
      <c r="G106" s="170">
        <f>G98+G30</f>
      </c>
      <c r="H106" s="170">
        <f>H98+H30</f>
      </c>
      <c r="I106" s="170">
        <f>I98+I30</f>
      </c>
      <c r="J106" s="170">
        <f>J98+J30</f>
      </c>
      <c r="K106" s="170">
        <f>K98+K30</f>
      </c>
      <c r="L106" s="170">
        <f>L98+L30</f>
      </c>
      <c r="M106" s="170">
        <f>M98+M30</f>
      </c>
      <c r="N106" s="170">
        <f>N98+N30</f>
      </c>
      <c r="Q106" s="1"/>
    </row>
    <row r="107">
      <c r="B107" s="90" t="str">
        <v>达人种草、样机及加热</v>
      </c>
      <c r="C107" s="170">
        <f>C99+C31</f>
      </c>
      <c r="D107" s="170">
        <f>D99+D31</f>
      </c>
      <c r="E107" s="170">
        <f>E99+E31</f>
      </c>
      <c r="F107" s="170">
        <f>F99+F31</f>
      </c>
      <c r="G107" s="170">
        <f>G99+G31</f>
      </c>
      <c r="H107" s="170">
        <f>H99+H31</f>
      </c>
      <c r="I107" s="170">
        <f>I99+I31</f>
      </c>
      <c r="J107" s="170">
        <f>J99+J31</f>
      </c>
      <c r="K107" s="170">
        <f>K99+K31</f>
      </c>
      <c r="L107" s="170">
        <f>L99+L31</f>
      </c>
      <c r="M107" s="170">
        <f>M99+M31</f>
      </c>
      <c r="N107" s="170">
        <f>N99+N31</f>
      </c>
      <c r="Q107" s="1"/>
    </row>
    <row r="108">
      <c r="Q108" s="1"/>
    </row>
    <row r="109">
      <c r="Q109" s="1"/>
    </row>
    <row r="110">
      <c r="Q110" s="1"/>
    </row>
    <row r="111">
      <c r="Q111" s="1"/>
    </row>
    <row r="112">
      <c r="Q112" s="1"/>
    </row>
    <row r="113">
      <c r="Q113" s="1"/>
    </row>
    <row r="114">
      <c r="Q114" s="1"/>
    </row>
    <row r="115">
      <c r="Q115" s="1"/>
    </row>
    <row r="116">
      <c r="Q116" s="1"/>
    </row>
    <row r="117">
      <c r="Q117" s="1"/>
    </row>
    <row r="118">
      <c r="Q118" s="1"/>
    </row>
    <row r="119">
      <c r="Q119" s="1"/>
    </row>
    <row r="120">
      <c r="Q120" s="1"/>
    </row>
    <row r="121">
      <c r="Q121" s="1"/>
    </row>
    <row r="122">
      <c r="Q122" s="1"/>
    </row>
    <row r="123">
      <c r="Q123" s="1"/>
    </row>
    <row r="124">
      <c r="Q124" s="1"/>
    </row>
    <row r="125">
      <c r="Q125" s="1"/>
    </row>
    <row r="126">
      <c r="Q126" s="1"/>
    </row>
    <row r="127">
      <c r="Q127" s="1"/>
    </row>
    <row r="128">
      <c r="Q128" s="1"/>
    </row>
    <row r="129">
      <c r="Q129" s="1"/>
    </row>
    <row r="130">
      <c r="Q130" s="1"/>
    </row>
    <row r="131">
      <c r="Q131" s="1"/>
    </row>
    <row r="132">
      <c r="Q132" s="1"/>
    </row>
    <row r="133">
      <c r="Q133" s="1"/>
    </row>
    <row r="134">
      <c r="Q134" s="1"/>
    </row>
    <row r="135">
      <c r="Q135" s="1"/>
    </row>
    <row r="136">
      <c r="Q136" s="1"/>
    </row>
    <row r="137">
      <c r="Q137" s="1"/>
    </row>
    <row r="138">
      <c r="Q138" s="1"/>
    </row>
    <row r="139">
      <c r="Q139" s="1"/>
    </row>
    <row r="140">
      <c r="Q140" s="1"/>
    </row>
    <row r="141">
      <c r="Q141" s="1"/>
    </row>
    <row r="142">
      <c r="Q142" s="1"/>
    </row>
    <row r="143">
      <c r="Q143" s="1"/>
    </row>
    <row r="144">
      <c r="Q144" s="1"/>
    </row>
    <row r="145">
      <c r="Q145" s="1"/>
    </row>
    <row r="146">
      <c r="Q146" s="1"/>
    </row>
    <row r="147">
      <c r="Q147" s="1"/>
    </row>
    <row r="148">
      <c r="Q148" s="1"/>
    </row>
    <row r="149">
      <c r="Q149" s="1"/>
    </row>
    <row r="150">
      <c r="Q150" s="1"/>
    </row>
    <row r="151">
      <c r="Q151" s="1"/>
    </row>
    <row r="152">
      <c r="Q152" s="1"/>
    </row>
    <row r="153">
      <c r="Q153" s="1"/>
    </row>
    <row r="154">
      <c r="Q154" s="1"/>
    </row>
    <row r="155">
      <c r="Q155" s="1"/>
    </row>
    <row r="156">
      <c r="Q156" s="1"/>
    </row>
    <row r="157">
      <c r="Q157" s="1"/>
    </row>
    <row r="158">
      <c r="Q158" s="1"/>
    </row>
    <row r="159">
      <c r="Q159" s="1"/>
    </row>
    <row r="160">
      <c r="Q160" s="1"/>
    </row>
    <row r="161">
      <c r="Q161" s="1"/>
    </row>
    <row r="162">
      <c r="Q162" s="1"/>
    </row>
    <row r="163">
      <c r="Q163" s="1"/>
    </row>
    <row r="164">
      <c r="Q164" s="1"/>
    </row>
    <row r="165">
      <c r="Q165" s="1"/>
    </row>
    <row r="166">
      <c r="Q166" s="1"/>
    </row>
    <row r="167">
      <c r="Q167" s="1"/>
    </row>
    <row r="168">
      <c r="Q168" s="1"/>
    </row>
    <row r="169">
      <c r="Q169" s="1"/>
    </row>
    <row r="170">
      <c r="Q170" s="1"/>
    </row>
    <row r="171">
      <c r="Q171" s="1"/>
    </row>
    <row r="172">
      <c r="Q172" s="1"/>
    </row>
    <row r="173">
      <c r="Q173" s="1"/>
    </row>
    <row r="174">
      <c r="Q174" s="1"/>
    </row>
    <row r="175">
      <c r="Q175" s="1"/>
    </row>
    <row r="176">
      <c r="Q176" s="1"/>
    </row>
    <row r="177">
      <c r="Q177" s="1"/>
    </row>
    <row r="178">
      <c r="Q178" s="1"/>
    </row>
    <row r="179">
      <c r="Q179" s="1"/>
    </row>
    <row r="180">
      <c r="Q180" s="1"/>
    </row>
    <row r="181">
      <c r="Q181" s="1"/>
    </row>
    <row r="182">
      <c r="Q182" s="1"/>
    </row>
    <row r="183">
      <c r="Q183" s="1"/>
    </row>
    <row r="184">
      <c r="Q184" s="1"/>
    </row>
    <row r="185">
      <c r="Q185" s="1"/>
    </row>
    <row r="186">
      <c r="Q186" s="1"/>
    </row>
    <row r="187">
      <c r="Q187" s="1"/>
    </row>
    <row r="188">
      <c r="Q188" s="1"/>
    </row>
    <row r="189">
      <c r="Q189" s="1"/>
    </row>
    <row r="190">
      <c r="Q190" s="1"/>
    </row>
    <row r="191">
      <c r="Q191" s="1"/>
    </row>
    <row r="192">
      <c r="Q192" s="1"/>
    </row>
    <row r="193">
      <c r="Q193" s="1"/>
    </row>
    <row r="194">
      <c r="Q194" s="1"/>
    </row>
    <row r="195">
      <c r="Q195" s="1"/>
    </row>
    <row r="196">
      <c r="Q196" s="1"/>
    </row>
    <row r="197">
      <c r="Q197" s="1"/>
    </row>
    <row r="198">
      <c r="Q198" s="1"/>
    </row>
    <row r="199">
      <c r="Q199" s="1"/>
    </row>
    <row r="200">
      <c r="Q200" s="1"/>
    </row>
  </sheetData>
  <picture r:id="rId1"/>
</worksheet>
</file>

<file path=xl/worksheets/sheet2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</row>
    <row r="2">
      <c r="B2" s="90" t="str">
        <v>退后销量</v>
      </c>
      <c r="C2" s="88">
        <v>1030.087738700897</v>
      </c>
      <c r="D2" s="88">
        <v>939.53057485906</v>
      </c>
      <c r="E2" s="88">
        <v>1098.005611582275</v>
      </c>
      <c r="F2" s="88">
        <v>911.2314611584859</v>
      </c>
      <c r="G2" s="88">
        <v>1590.4101899722643</v>
      </c>
      <c r="H2" s="88">
        <v>1375.336925847901</v>
      </c>
      <c r="I2" s="88">
        <v>894.2519929381415</v>
      </c>
      <c r="J2" s="88">
        <v>1124.0407961868032</v>
      </c>
      <c r="K2" s="88">
        <v>1239.5011800851455</v>
      </c>
      <c r="L2" s="88">
        <v>1642.4805591813206</v>
      </c>
      <c r="M2" s="88">
        <v>1276.8560101699034</v>
      </c>
      <c r="N2" s="88">
        <v>1141.0202644071476</v>
      </c>
      <c r="O2" s="88">
        <f>SUM(C2:N2)</f>
      </c>
      <c r="P2" s="88"/>
      <c r="Q2" s="1"/>
    </row>
    <row r="3">
      <c r="A3" s="97"/>
      <c r="B3" s="94" t="str">
        <v>自补前GMV</v>
      </c>
      <c r="C3" s="93">
        <v>166666.66666666698</v>
      </c>
      <c r="D3" s="93">
        <v>233333.33333333302</v>
      </c>
      <c r="E3" s="93">
        <v>300000</v>
      </c>
      <c r="F3" s="93">
        <v>233333.33333333302</v>
      </c>
      <c r="G3" s="93">
        <v>433333.333333333</v>
      </c>
      <c r="H3" s="93">
        <v>473333.333333333</v>
      </c>
      <c r="I3" s="93">
        <v>700000</v>
      </c>
      <c r="J3" s="93">
        <v>833333.333333333</v>
      </c>
      <c r="K3" s="93">
        <v>726666.666666667</v>
      </c>
      <c r="L3" s="93">
        <v>900000</v>
      </c>
      <c r="M3" s="93">
        <v>900000</v>
      </c>
      <c r="N3" s="93">
        <v>766666.666666667</v>
      </c>
      <c r="O3" s="93">
        <v>6666666.666666666</v>
      </c>
      <c r="P3" s="93"/>
      <c r="Q3" s="146" t="str">
        <v>渠道填写</v>
      </c>
    </row>
    <row r="4">
      <c r="A4" s="97"/>
      <c r="B4" s="94" t="str">
        <v>自补前GSV</v>
      </c>
      <c r="C4" s="93">
        <v>141666.66666666692</v>
      </c>
      <c r="D4" s="93">
        <v>198333.33333333305</v>
      </c>
      <c r="E4" s="93">
        <v>255000</v>
      </c>
      <c r="F4" s="93">
        <v>198333.33333333305</v>
      </c>
      <c r="G4" s="93">
        <v>368333.3333333331</v>
      </c>
      <c r="H4" s="93">
        <v>402333.3333333331</v>
      </c>
      <c r="I4" s="93">
        <v>595000</v>
      </c>
      <c r="J4" s="93">
        <v>708333.333333333</v>
      </c>
      <c r="K4" s="93">
        <v>617666.6666666669</v>
      </c>
      <c r="L4" s="93">
        <v>765000</v>
      </c>
      <c r="M4" s="93">
        <v>765000</v>
      </c>
      <c r="N4" s="93">
        <v>651666.6666666669</v>
      </c>
      <c r="O4" s="93">
        <v>5666666.666666666</v>
      </c>
      <c r="P4" s="93"/>
      <c r="Q4" s="146" t="str">
        <v>渠道填写</v>
      </c>
    </row>
    <row r="5">
      <c r="A5" s="97"/>
      <c r="B5" s="94" t="str">
        <v>国补自补费用</v>
      </c>
      <c r="C5" s="93"/>
      <c r="D5" s="93"/>
      <c r="E5" s="93"/>
      <c r="F5" s="93"/>
      <c r="G5" s="93"/>
      <c r="H5" s="93"/>
      <c r="I5" s="93"/>
      <c r="J5" s="93"/>
      <c r="K5" s="93"/>
      <c r="L5" s="93"/>
      <c r="M5" s="93"/>
      <c r="N5" s="93"/>
      <c r="O5" s="93"/>
      <c r="P5" s="93"/>
      <c r="Q5" s="126" t="str">
        <v>渠道填写</v>
      </c>
    </row>
    <row r="6">
      <c r="A6" s="97"/>
      <c r="B6" s="98" t="str">
        <v>GMV（国补后）</v>
      </c>
      <c r="C6" s="95">
        <v>150000.0000000003</v>
      </c>
      <c r="D6" s="95">
        <v>209999.99999999974</v>
      </c>
      <c r="E6" s="95">
        <v>270000</v>
      </c>
      <c r="F6" s="95">
        <v>209999.99999999974</v>
      </c>
      <c r="G6" s="95">
        <v>389999.9999999997</v>
      </c>
      <c r="H6" s="95">
        <v>425999.9999999997</v>
      </c>
      <c r="I6" s="95">
        <v>630000</v>
      </c>
      <c r="J6" s="95">
        <v>749999.9999999998</v>
      </c>
      <c r="K6" s="95">
        <v>654000.0000000003</v>
      </c>
      <c r="L6" s="95">
        <v>810000</v>
      </c>
      <c r="M6" s="95">
        <v>810000</v>
      </c>
      <c r="N6" s="95">
        <v>690000.0000000003</v>
      </c>
      <c r="O6" s="95">
        <f>SUM(C6:N6)</f>
      </c>
      <c r="P6" s="95"/>
      <c r="Q6" s="126" t="str">
        <v>渠道填写</v>
      </c>
    </row>
    <row r="7">
      <c r="A7" s="97"/>
      <c r="B7" s="102" t="str">
        <v>退货率（发货前+后）</v>
      </c>
      <c r="C7" s="103">
        <v>0.15</v>
      </c>
      <c r="D7" s="103">
        <v>0.15</v>
      </c>
      <c r="E7" s="103">
        <v>0.15</v>
      </c>
      <c r="F7" s="103">
        <v>0.15</v>
      </c>
      <c r="G7" s="103">
        <v>0.15</v>
      </c>
      <c r="H7" s="103">
        <v>0.15</v>
      </c>
      <c r="I7" s="103">
        <v>0.15</v>
      </c>
      <c r="J7" s="103">
        <v>0.15</v>
      </c>
      <c r="K7" s="103">
        <v>0.15</v>
      </c>
      <c r="L7" s="103">
        <v>0.15</v>
      </c>
      <c r="M7" s="103">
        <v>0.15</v>
      </c>
      <c r="N7" s="103">
        <v>0.15</v>
      </c>
      <c r="O7" s="103">
        <v>0.15</v>
      </c>
      <c r="P7" s="103"/>
      <c r="Q7" s="1" t="str">
        <v>渠道填写</v>
      </c>
    </row>
    <row r="8">
      <c r="A8" s="97"/>
      <c r="B8" s="98" t="str">
        <v>GSV（国补后）</v>
      </c>
      <c r="C8" s="95">
        <f>C6*(1-C7)</f>
      </c>
      <c r="D8" s="95">
        <f>D6*(1-D7)</f>
      </c>
      <c r="E8" s="95">
        <f>E6*(1-E7)</f>
      </c>
      <c r="F8" s="95">
        <f>F6*(1-F7)</f>
      </c>
      <c r="G8" s="95">
        <f>G6*(1-G7)</f>
      </c>
      <c r="H8" s="95">
        <f>H6*(1-H7)</f>
      </c>
      <c r="I8" s="95">
        <f>I6*(1-I7)</f>
      </c>
      <c r="J8" s="95">
        <f>J6*(1-J7)</f>
      </c>
      <c r="K8" s="95">
        <f>K6*(1-K7)</f>
      </c>
      <c r="L8" s="95">
        <f>L6*(1-L7)</f>
      </c>
      <c r="M8" s="95">
        <f>M6*(1-M7)</f>
      </c>
      <c r="N8" s="95">
        <f>N6*(1-N7)</f>
      </c>
      <c r="O8" s="95">
        <f>SUM(C8:N8)</f>
      </c>
      <c r="P8" s="95"/>
      <c r="Q8" s="1" t="str">
        <v>渠道填写</v>
      </c>
    </row>
    <row r="9">
      <c r="B9" s="90"/>
      <c r="C9" s="88">
        <f>C10-C14-C15</f>
      </c>
      <c r="D9" s="88">
        <f>D10-D14-D15</f>
      </c>
      <c r="E9" s="88">
        <f>E10-E14-E15</f>
      </c>
      <c r="F9" s="88">
        <f>F10-F14-F15</f>
      </c>
      <c r="G9" s="88">
        <f>G10-G14-G15</f>
      </c>
      <c r="H9" s="88">
        <f>H10-H14-H15</f>
      </c>
      <c r="I9" s="88">
        <f>I10-I14-I15</f>
      </c>
      <c r="J9" s="88">
        <f>J10-J14-J15</f>
      </c>
      <c r="K9" s="88">
        <f>K10-K14-K15</f>
      </c>
      <c r="L9" s="88">
        <f>L10-L14-L15</f>
      </c>
      <c r="M9" s="88">
        <f>M10-M14-M15</f>
      </c>
      <c r="N9" s="88">
        <f>N10-N14-N15</f>
      </c>
      <c r="O9" s="88">
        <f>O10-O14-O15</f>
      </c>
      <c r="P9" s="88"/>
      <c r="Q9" s="1"/>
    </row>
    <row r="10">
      <c r="A10" s="97"/>
      <c r="B10" s="98" t="str">
        <v>零售价（去除退货后的）</v>
      </c>
      <c r="C10" s="95">
        <v>131325.00000000026</v>
      </c>
      <c r="D10" s="95">
        <v>183854.99999999977</v>
      </c>
      <c r="E10" s="95">
        <v>236385</v>
      </c>
      <c r="F10" s="95">
        <v>183854.99999999977</v>
      </c>
      <c r="G10" s="95">
        <v>341444.99999999977</v>
      </c>
      <c r="H10" s="95">
        <v>372962.99999999977</v>
      </c>
      <c r="I10" s="95">
        <v>551565</v>
      </c>
      <c r="J10" s="95">
        <v>656624.9999999998</v>
      </c>
      <c r="K10" s="95">
        <v>572577.0000000002</v>
      </c>
      <c r="L10" s="95">
        <v>709155</v>
      </c>
      <c r="M10" s="95">
        <v>709155</v>
      </c>
      <c r="N10" s="95">
        <v>604095.0000000002</v>
      </c>
      <c r="O10" s="95">
        <v>5252999.999999999</v>
      </c>
      <c r="P10" s="95"/>
      <c r="Q10" s="1"/>
    </row>
    <row r="11">
      <c r="B11" s="85" t="str">
        <v>合同折扣及返利 (线下）</v>
      </c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>
        <f>SUM(C11:N11)</f>
      </c>
      <c r="P11" s="84"/>
      <c r="Q11" s="1" t="str">
        <v>线下渠道填写</v>
      </c>
    </row>
    <row r="12">
      <c r="B12" s="85" t="str">
        <v>国补自补 （线上）</v>
      </c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84"/>
      <c r="N12" s="84"/>
      <c r="O12" s="84"/>
      <c r="P12" s="183"/>
      <c r="Q12" s="1" t="str">
        <v>渠道填写</v>
      </c>
      <c r="R12" s="54">
        <f>O12/$O$10</f>
      </c>
    </row>
    <row r="13">
      <c r="B13" s="85" t="str">
        <v>红包消费券等促销折扣</v>
      </c>
      <c r="C13" s="84">
        <f>C8*0.03</f>
      </c>
      <c r="D13" s="84">
        <f>D8*0.03</f>
      </c>
      <c r="E13" s="84">
        <f>E8*0.03</f>
      </c>
      <c r="F13" s="84">
        <f>F8*0.03</f>
      </c>
      <c r="G13" s="84">
        <f>G8*0.03</f>
      </c>
      <c r="H13" s="84">
        <f>H8*0.03</f>
      </c>
      <c r="I13" s="84">
        <f>I8*0.03</f>
      </c>
      <c r="J13" s="84">
        <f>J8*0.03</f>
      </c>
      <c r="K13" s="84">
        <f>K8*0.03</f>
      </c>
      <c r="L13" s="84">
        <f>L8*0.03</f>
      </c>
      <c r="M13" s="84">
        <f>M8*0.03</f>
      </c>
      <c r="N13" s="84">
        <f>N8*0.03</f>
      </c>
      <c r="O13" s="84">
        <f>O8*0.03</f>
      </c>
      <c r="P13" s="183">
        <v>0.03</v>
      </c>
      <c r="Q13" s="1" t="str">
        <v>渠道填写</v>
      </c>
      <c r="R13" s="54">
        <f>O13/$O$10</f>
      </c>
    </row>
    <row r="14">
      <c r="B14" s="83" t="str">
        <v>TTL 折扣合计</v>
      </c>
      <c r="C14" s="81">
        <f>SUM(C11:C13)</f>
      </c>
      <c r="D14" s="81">
        <f>SUM(D11:D13)</f>
      </c>
      <c r="E14" s="81">
        <f>SUM(E11:E13)</f>
      </c>
      <c r="F14" s="81">
        <f>SUM(F11:F13)</f>
      </c>
      <c r="G14" s="81">
        <f>SUM(G11:G13)</f>
      </c>
      <c r="H14" s="81">
        <f>SUM(H11:H13)</f>
      </c>
      <c r="I14" s="81">
        <f>SUM(I11:I13)</f>
      </c>
      <c r="J14" s="81">
        <f>SUM(J11:J13)</f>
      </c>
      <c r="K14" s="81">
        <f>SUM(K11:K13)</f>
      </c>
      <c r="L14" s="81">
        <f>SUM(L11:L13)</f>
      </c>
      <c r="M14" s="81">
        <f>SUM(M11:M13)</f>
      </c>
      <c r="N14" s="81">
        <f>SUM(N11:N13)</f>
      </c>
      <c r="O14" s="81">
        <f>SUM(C14:N14)</f>
      </c>
      <c r="P14" s="81"/>
      <c r="Q14" s="1"/>
    </row>
    <row r="15">
      <c r="A15" s="97"/>
      <c r="B15" s="98" t="str">
        <v>GSV</v>
      </c>
      <c r="C15" s="95">
        <f>C8</f>
      </c>
      <c r="D15" s="95">
        <f>D8</f>
      </c>
      <c r="E15" s="95">
        <f>E8</f>
      </c>
      <c r="F15" s="95">
        <f>F8</f>
      </c>
      <c r="G15" s="95">
        <f>G8</f>
      </c>
      <c r="H15" s="95">
        <f>H8</f>
      </c>
      <c r="I15" s="95">
        <f>I8</f>
      </c>
      <c r="J15" s="95">
        <f>J8</f>
      </c>
      <c r="K15" s="95">
        <f>K8</f>
      </c>
      <c r="L15" s="95">
        <f>L8</f>
      </c>
      <c r="M15" s="95">
        <f>M8</f>
      </c>
      <c r="N15" s="95">
        <f>N8</f>
      </c>
      <c r="O15" s="95">
        <f>SUM(C15:N15)</f>
      </c>
      <c r="P15" s="95"/>
      <c r="Q15" s="1"/>
    </row>
    <row r="16">
      <c r="A16" s="97"/>
      <c r="B16" s="98" t="str">
        <v>营业收入</v>
      </c>
      <c r="C16" s="95">
        <f>+C8/1.13</f>
      </c>
      <c r="D16" s="95">
        <f>+D8/1.13</f>
      </c>
      <c r="E16" s="95">
        <f>+E8/1.13</f>
      </c>
      <c r="F16" s="95">
        <f>+F8/1.13</f>
      </c>
      <c r="G16" s="95">
        <f>+G8/1.13</f>
      </c>
      <c r="H16" s="95">
        <f>+H8/1.13</f>
      </c>
      <c r="I16" s="95">
        <f>+I8/1.13</f>
      </c>
      <c r="J16" s="95">
        <f>+J8/1.13</f>
      </c>
      <c r="K16" s="95">
        <f>+K8/1.13</f>
      </c>
      <c r="L16" s="95">
        <f>+L8/1.13</f>
      </c>
      <c r="M16" s="95">
        <f>+M8/1.13</f>
      </c>
      <c r="N16" s="95">
        <f>+N8/1.13</f>
      </c>
      <c r="O16" s="95">
        <f>SUM(C16:N16)</f>
      </c>
      <c r="P16" s="95"/>
      <c r="Q16" s="1"/>
    </row>
    <row r="17">
      <c r="Q17" s="1"/>
    </row>
    <row r="18">
      <c r="B18" s="85" t="str">
        <v>标准主品配件成本</v>
      </c>
      <c r="C18" s="84">
        <f>C64*C65</f>
      </c>
      <c r="D18" s="84">
        <f>D64*D65</f>
      </c>
      <c r="E18" s="84">
        <f>E64*E65</f>
      </c>
      <c r="F18" s="84">
        <f>F64*F65</f>
      </c>
      <c r="G18" s="84">
        <f>G64*G65</f>
      </c>
      <c r="H18" s="84">
        <f>H64*H65</f>
      </c>
      <c r="I18" s="84">
        <f>I64*I65</f>
      </c>
      <c r="J18" s="84">
        <f>J64*J65</f>
      </c>
      <c r="K18" s="84">
        <f>K64*K65</f>
      </c>
      <c r="L18" s="84">
        <f>L64*L65</f>
      </c>
      <c r="M18" s="84">
        <f>M64*M65</f>
      </c>
      <c r="N18" s="84">
        <f>N64*N65</f>
      </c>
      <c r="O18" s="84">
        <f>SUM(C18:N18)</f>
      </c>
      <c r="P18" s="86">
        <f>O18/O16</f>
      </c>
      <c r="Q18" s="1"/>
    </row>
    <row r="19">
      <c r="B19" s="83" t="str">
        <v>产品毛利</v>
      </c>
      <c r="C19" s="81">
        <f>C16-C18</f>
      </c>
      <c r="D19" s="81">
        <f>D16-D18</f>
      </c>
      <c r="E19" s="81">
        <f>E16-E18</f>
      </c>
      <c r="F19" s="81">
        <f>F16-F18</f>
      </c>
      <c r="G19" s="81">
        <f>G16-G18</f>
      </c>
      <c r="H19" s="81">
        <f>H16-H18</f>
      </c>
      <c r="I19" s="81">
        <f>I16-I18</f>
      </c>
      <c r="J19" s="81">
        <f>J16-J18</f>
      </c>
      <c r="K19" s="81">
        <f>K16-K18</f>
      </c>
      <c r="L19" s="81">
        <f>L16-L18</f>
      </c>
      <c r="M19" s="81">
        <f>M16-M18</f>
      </c>
      <c r="N19" s="81">
        <f>N16-N18</f>
      </c>
      <c r="O19" s="81">
        <f>SUM(C19:N19)</f>
      </c>
      <c r="P19" s="82">
        <f>O19/$O$16</f>
      </c>
      <c r="Q19" s="1"/>
    </row>
    <row r="20">
      <c r="A20" s="88"/>
      <c r="B20" s="90" t="str">
        <v>头程/尾程物流/仓储费用</v>
      </c>
      <c r="C20" s="110">
        <f>C16*2.5%</f>
      </c>
      <c r="D20" s="110">
        <f>D16*2.5%</f>
      </c>
      <c r="E20" s="110">
        <f>E16*2.5%</f>
      </c>
      <c r="F20" s="110">
        <f>F16*2.5%</f>
      </c>
      <c r="G20" s="110">
        <f>G16*2.5%</f>
      </c>
      <c r="H20" s="110">
        <f>H16*2.5%</f>
      </c>
      <c r="I20" s="110">
        <f>I16*2.5%</f>
      </c>
      <c r="J20" s="110">
        <f>J16*2.5%</f>
      </c>
      <c r="K20" s="110">
        <f>K16*2.5%</f>
      </c>
      <c r="L20" s="110">
        <f>L16*2.5%</f>
      </c>
      <c r="M20" s="110">
        <f>M16*2.5%</f>
      </c>
      <c r="N20" s="110">
        <f>N16*2.5%</f>
      </c>
      <c r="O20" s="110">
        <f>SUM(C20:N20)</f>
      </c>
      <c r="P20" s="111">
        <v>0.025</v>
      </c>
      <c r="Q20" s="1"/>
    </row>
    <row r="21">
      <c r="B21" s="83" t="str">
        <v>成本合计（产品+物流）</v>
      </c>
      <c r="C21" s="81">
        <f>SUM(C18,C20)</f>
      </c>
      <c r="D21" s="81">
        <f>SUM(D18,D20)</f>
      </c>
      <c r="E21" s="81">
        <f>SUM(E18,E20)</f>
      </c>
      <c r="F21" s="81">
        <f>SUM(F18,F20)</f>
      </c>
      <c r="G21" s="81">
        <f>SUM(G18,G20)</f>
      </c>
      <c r="H21" s="81">
        <f>SUM(H18,H20)</f>
      </c>
      <c r="I21" s="81">
        <f>SUM(I18,I20)</f>
      </c>
      <c r="J21" s="81">
        <f>SUM(J18,J20)</f>
      </c>
      <c r="K21" s="81">
        <f>SUM(K18,K20)</f>
      </c>
      <c r="L21" s="81">
        <f>SUM(L18,L20)</f>
      </c>
      <c r="M21" s="81">
        <f>SUM(M18,M20)</f>
      </c>
      <c r="N21" s="81">
        <f>SUM(N18,N20)</f>
      </c>
      <c r="O21" s="81">
        <f>SUM(C21:N21)</f>
      </c>
      <c r="P21" s="82">
        <f>O21/$O$16</f>
      </c>
      <c r="Q21" s="1"/>
    </row>
    <row r="22">
      <c r="A22" s="97"/>
      <c r="B22" s="98" t="str">
        <v>净毛利</v>
      </c>
      <c r="C22" s="95">
        <f>C16-C21</f>
      </c>
      <c r="D22" s="95">
        <f>D16-D21</f>
      </c>
      <c r="E22" s="95">
        <f>E16-E21</f>
      </c>
      <c r="F22" s="95">
        <f>F16-F21</f>
      </c>
      <c r="G22" s="95">
        <f>G16-G21</f>
      </c>
      <c r="H22" s="95">
        <f>H16-H21</f>
      </c>
      <c r="I22" s="95">
        <f>I16-I21</f>
      </c>
      <c r="J22" s="95">
        <f>J16-J21</f>
      </c>
      <c r="K22" s="95">
        <f>K16-K21</f>
      </c>
      <c r="L22" s="95">
        <f>L16-L21</f>
      </c>
      <c r="M22" s="95">
        <f>M16-M21</f>
      </c>
      <c r="N22" s="95">
        <f>N16-N21</f>
      </c>
      <c r="O22" s="95">
        <f>SUM(C22:N22)</f>
      </c>
      <c r="P22" s="96">
        <f>O22/$O$16</f>
      </c>
      <c r="Q22" s="1"/>
    </row>
    <row r="23">
      <c r="B23" s="102" t="str">
        <v>实际产品毛利率</v>
      </c>
      <c r="C23" s="221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91"/>
      <c r="Q23" s="1"/>
    </row>
    <row r="24">
      <c r="B24" s="102" t="str">
        <v>合计毛利率</v>
      </c>
      <c r="C24" s="221">
        <f>IFERROR(1-C21/C16,0)</f>
      </c>
      <c r="D24" s="101">
        <f>IFERROR(1-D21/D16,0)</f>
      </c>
      <c r="E24" s="101">
        <f>IFERROR(1-E21/E16,0)</f>
      </c>
      <c r="F24" s="101">
        <f>IFERROR(1-F21/F16,0)</f>
      </c>
      <c r="G24" s="101">
        <f>IFERROR(1-G21/G16,0)</f>
      </c>
      <c r="H24" s="101">
        <f>IFERROR(1-H21/H16,0)</f>
      </c>
      <c r="I24" s="101">
        <f>IFERROR(1-I21/I16,0)</f>
      </c>
      <c r="J24" s="101">
        <f>IFERROR(1-J21/J16,0)</f>
      </c>
      <c r="K24" s="101">
        <f>IFERROR(1-K21/K16,0)</f>
      </c>
      <c r="L24" s="101">
        <f>IFERROR(1-L21/L16,0)</f>
      </c>
      <c r="M24" s="101">
        <f>IFERROR(1-M21/M16,0)</f>
      </c>
      <c r="N24" s="101">
        <f>IFERROR(1-N21/N16,0)</f>
      </c>
      <c r="O24" s="101">
        <f>IFERROR(1-O21/O16,0)</f>
      </c>
      <c r="P24" s="91"/>
      <c r="Q24" s="1"/>
    </row>
    <row r="25"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91"/>
      <c r="Q25" s="1"/>
    </row>
    <row r="26">
      <c r="B26" s="85" t="str">
        <v>品牌及内容费用</v>
      </c>
      <c r="C26" s="84">
        <f>SUM(C27:C31)</f>
      </c>
      <c r="D26" s="84">
        <f>SUM(D27:D31)</f>
      </c>
      <c r="E26" s="84">
        <f>SUM(E27:E31)</f>
      </c>
      <c r="F26" s="84">
        <f>SUM(F27:F31)</f>
      </c>
      <c r="G26" s="84">
        <f>SUM(G27:G31)</f>
      </c>
      <c r="H26" s="84">
        <f>SUM(H27:H31)</f>
      </c>
      <c r="I26" s="84">
        <f>SUM(I27:I31)</f>
      </c>
      <c r="J26" s="84">
        <f>SUM(J27:J31)</f>
      </c>
      <c r="K26" s="84">
        <f>SUM(K27:K31)</f>
      </c>
      <c r="L26" s="84">
        <f>SUM(L27:L31)</f>
      </c>
      <c r="M26" s="84">
        <f>SUM(M27:M31)</f>
      </c>
      <c r="N26" s="84">
        <f>SUM(N27:N31)</f>
      </c>
      <c r="O26" s="84">
        <f>SUM(C26:N26)</f>
      </c>
      <c r="P26" s="86">
        <f>O26/$O$16</f>
      </c>
      <c r="Q26" s="1"/>
    </row>
    <row r="27">
      <c r="A27" s="88"/>
      <c r="B27" s="90" t="str">
        <v>展会</v>
      </c>
      <c r="C27" s="89">
        <v>0</v>
      </c>
      <c r="D27" s="89">
        <v>0</v>
      </c>
      <c r="E27" s="89">
        <v>750.7835445714337</v>
      </c>
      <c r="F27" s="89">
        <v>625.9503333962077</v>
      </c>
      <c r="G27" s="89">
        <v>1331.3230627033931</v>
      </c>
      <c r="H27" s="89">
        <v>1176.8943818147357</v>
      </c>
      <c r="I27" s="89">
        <v>778.3769506185745</v>
      </c>
      <c r="J27" s="89">
        <v>1067.8161874698183</v>
      </c>
      <c r="K27" s="89">
        <v>855.8966009583728</v>
      </c>
      <c r="L27" s="89">
        <v>1426.4852237495688</v>
      </c>
      <c r="M27" s="89">
        <v>1082.1617718834868</v>
      </c>
      <c r="N27" s="89">
        <v>0</v>
      </c>
      <c r="O27" s="88">
        <f>SUM(C27:N27)</f>
      </c>
      <c r="P27" s="91">
        <f>O27/$O$16</f>
      </c>
      <c r="Q27" s="90"/>
    </row>
    <row r="28">
      <c r="A28" s="88"/>
      <c r="B28" s="90" t="str">
        <v>品牌营销</v>
      </c>
      <c r="C28" s="89">
        <v>0</v>
      </c>
      <c r="D28" s="89">
        <v>0</v>
      </c>
      <c r="E28" s="89">
        <v>0</v>
      </c>
      <c r="F28" s="89">
        <v>751.1404000754493</v>
      </c>
      <c r="G28" s="89">
        <v>7987.938376220358</v>
      </c>
      <c r="H28" s="89">
        <v>3766.062021807154</v>
      </c>
      <c r="I28" s="89">
        <v>0</v>
      </c>
      <c r="J28" s="89">
        <v>1281.3794249637817</v>
      </c>
      <c r="K28" s="89">
        <v>2738.8691230667932</v>
      </c>
      <c r="L28" s="89">
        <v>1711.7822684994824</v>
      </c>
      <c r="M28" s="89">
        <v>1298.5941262601843</v>
      </c>
      <c r="N28" s="89">
        <v>0</v>
      </c>
      <c r="O28" s="88">
        <f>SUM(C28:N28)</f>
      </c>
      <c r="P28" s="91">
        <f>O28/$O$16</f>
      </c>
      <c r="Q28" s="90"/>
    </row>
    <row r="29">
      <c r="A29" s="88"/>
      <c r="B29" s="90" t="str">
        <v>内容素材制作</v>
      </c>
      <c r="C29" s="89">
        <v>363.804069132213</v>
      </c>
      <c r="D29" s="89">
        <v>297.4289657869458</v>
      </c>
      <c r="E29" s="89">
        <v>300.3134178285735</v>
      </c>
      <c r="F29" s="89">
        <v>1251.9006667924154</v>
      </c>
      <c r="G29" s="89">
        <v>7987.938376220358</v>
      </c>
      <c r="H29" s="89">
        <v>5178.335279984837</v>
      </c>
      <c r="I29" s="89">
        <v>0</v>
      </c>
      <c r="J29" s="89">
        <v>1281.3794249637817</v>
      </c>
      <c r="K29" s="89">
        <v>2738.8691230667932</v>
      </c>
      <c r="L29" s="89">
        <v>2852.9704474991377</v>
      </c>
      <c r="M29" s="89">
        <v>2164.3235437669737</v>
      </c>
      <c r="N29" s="89">
        <v>378.75702737132804</v>
      </c>
      <c r="O29" s="88">
        <f>SUM(C29:N29)</f>
      </c>
      <c r="P29" s="91">
        <f>O29/$O$16</f>
      </c>
      <c r="Q29" s="1"/>
    </row>
    <row r="30">
      <c r="A30" s="88"/>
      <c r="B30" s="90" t="str">
        <v>公关费用</v>
      </c>
      <c r="C30" s="89">
        <v>363.804069132213</v>
      </c>
      <c r="D30" s="89">
        <v>297.4289657869458</v>
      </c>
      <c r="E30" s="89">
        <v>2402.507342628588</v>
      </c>
      <c r="F30" s="89">
        <v>250.3801333584831</v>
      </c>
      <c r="G30" s="89">
        <v>1597.5876752440718</v>
      </c>
      <c r="H30" s="89">
        <v>470.75775272589425</v>
      </c>
      <c r="I30" s="89">
        <v>311.3507802474298</v>
      </c>
      <c r="J30" s="89">
        <v>427.1264749879273</v>
      </c>
      <c r="K30" s="89">
        <v>342.35864038334915</v>
      </c>
      <c r="L30" s="89">
        <v>1141.1881789996553</v>
      </c>
      <c r="M30" s="89">
        <v>865.7294175067896</v>
      </c>
      <c r="N30" s="89">
        <v>378.75702737132804</v>
      </c>
      <c r="O30" s="88">
        <f>SUM(C30:N30)</f>
      </c>
      <c r="P30" s="91">
        <f>O30/$O$16</f>
      </c>
      <c r="Q30" s="1"/>
    </row>
    <row r="31">
      <c r="A31" s="88"/>
      <c r="B31" s="90" t="str">
        <v>达人种草、样机及加热</v>
      </c>
      <c r="C31" s="89">
        <v>3638.0406913221304</v>
      </c>
      <c r="D31" s="89">
        <v>14871.44828934729</v>
      </c>
      <c r="E31" s="89">
        <v>24025.07342628588</v>
      </c>
      <c r="F31" s="89">
        <v>12519.006667924155</v>
      </c>
      <c r="G31" s="89">
        <v>47927.63025732215</v>
      </c>
      <c r="H31" s="89">
        <v>28245.465163553654</v>
      </c>
      <c r="I31" s="89">
        <v>6227.015604948596</v>
      </c>
      <c r="J31" s="89">
        <v>8542.529499758546</v>
      </c>
      <c r="K31" s="89">
        <v>3423.586403833491</v>
      </c>
      <c r="L31" s="89">
        <v>28529.704474991377</v>
      </c>
      <c r="M31" s="89">
        <v>8657.294175067895</v>
      </c>
      <c r="N31" s="89">
        <v>7575.140547426561</v>
      </c>
      <c r="O31" s="88">
        <f>SUM(C31:N31)</f>
      </c>
      <c r="P31" s="91">
        <f>O31/$O$16</f>
      </c>
      <c r="Q31" s="1"/>
    </row>
    <row outlineLevel="1" r="32">
      <c r="A32" s="88"/>
      <c r="B32" s="90" t="str">
        <v>展会(费率)</v>
      </c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91"/>
      <c r="Q32" s="1"/>
    </row>
    <row outlineLevel="1" r="33">
      <c r="A33" s="88"/>
      <c r="B33" s="90" t="str">
        <v>品牌营销（费率）</v>
      </c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91"/>
      <c r="Q33" s="1"/>
    </row>
    <row outlineLevel="1" r="34">
      <c r="A34" s="88"/>
      <c r="B34" s="90" t="str">
        <v>内容素材制作（费率）</v>
      </c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91"/>
      <c r="Q34" s="1"/>
    </row>
    <row outlineLevel="1" r="35">
      <c r="A35" s="88"/>
      <c r="B35" s="90" t="str">
        <v>公关费用（费率）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91"/>
      <c r="Q35" s="1"/>
    </row>
    <row outlineLevel="1" r="36">
      <c r="A36" s="88"/>
      <c r="B36" s="90" t="str">
        <v>达人种草、样机及加热（费率）</v>
      </c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88"/>
      <c r="P36" s="91"/>
      <c r="Q36" s="1"/>
    </row>
    <row r="37">
      <c r="B37" s="85" t="str">
        <v>效果广告</v>
      </c>
      <c r="C37" s="84">
        <f>SUM(C38:C40)</f>
      </c>
      <c r="D37" s="84">
        <f>SUM(D38:D40)</f>
      </c>
      <c r="E37" s="84">
        <f>SUM(E38:E40)</f>
      </c>
      <c r="F37" s="84">
        <f>SUM(F38:F40)</f>
      </c>
      <c r="G37" s="84">
        <f>SUM(G38:G40)</f>
      </c>
      <c r="H37" s="84">
        <f>SUM(H38:H40)</f>
      </c>
      <c r="I37" s="84">
        <f>SUM(I38:I40)</f>
      </c>
      <c r="J37" s="84">
        <f>SUM(J38:J40)</f>
      </c>
      <c r="K37" s="84">
        <f>SUM(K38:K40)</f>
      </c>
      <c r="L37" s="84">
        <f>SUM(L38:L40)</f>
      </c>
      <c r="M37" s="84">
        <f>SUM(M38:M40)</f>
      </c>
      <c r="N37" s="84">
        <f>SUM(N38:N40)</f>
      </c>
      <c r="O37" s="84">
        <f>SUM(C37:N37)</f>
      </c>
      <c r="P37" s="86">
        <f>O37/$O$16</f>
      </c>
      <c r="Q37" s="1"/>
    </row>
    <row r="38">
      <c r="A38" s="88"/>
      <c r="B38" s="90" t="str">
        <v>站内投放</v>
      </c>
      <c r="C38" s="99">
        <v>50147.492625368825</v>
      </c>
      <c r="D38" s="99">
        <v>70206.48967551613</v>
      </c>
      <c r="E38" s="99">
        <v>90265.48672566372</v>
      </c>
      <c r="F38" s="99">
        <v>70206.48967551613</v>
      </c>
      <c r="G38" s="99">
        <v>130383.48082595864</v>
      </c>
      <c r="H38" s="99">
        <v>142418.87905604712</v>
      </c>
      <c r="I38" s="99">
        <v>210619.4690265487</v>
      </c>
      <c r="J38" s="99">
        <v>250737.46312684356</v>
      </c>
      <c r="K38" s="99">
        <v>218643.06784660777</v>
      </c>
      <c r="L38" s="99">
        <v>270796.4601769912</v>
      </c>
      <c r="M38" s="99">
        <v>270796.4601769912</v>
      </c>
      <c r="N38" s="99">
        <v>230678.46607669626</v>
      </c>
      <c r="O38" s="88">
        <f>SUM(C38:N38)</f>
      </c>
      <c r="P38" s="91">
        <f>O38/$O$16</f>
      </c>
      <c r="Q38" s="1" t="str">
        <v>投放填写</v>
      </c>
    </row>
    <row r="39">
      <c r="A39" s="88"/>
      <c r="B39" s="90" t="str">
        <v>千川投放</v>
      </c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88">
        <f>SUM(C39:N39)</f>
      </c>
      <c r="P39" s="91">
        <f>O39/$O$16</f>
      </c>
      <c r="Q39" s="1" t="str">
        <v>投放填写</v>
      </c>
    </row>
    <row r="40">
      <c r="A40" s="88"/>
      <c r="B40" s="90" t="str">
        <v>站外投放</v>
      </c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88">
        <f>SUM(C40:N40)</f>
      </c>
      <c r="P40" s="91">
        <f>O40/$O$16</f>
      </c>
      <c r="Q40" s="1" t="str">
        <v>投放填写</v>
      </c>
    </row>
    <row outlineLevel="1" r="41">
      <c r="A41" s="88"/>
      <c r="B41" s="90" t="str">
        <v>站内投放（费率）</v>
      </c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91">
        <f>O38/$O$16</f>
      </c>
      <c r="Q41" s="1" t="str">
        <v>投放填写</v>
      </c>
    </row>
    <row outlineLevel="1" r="42">
      <c r="A42" s="88"/>
      <c r="B42" s="90" t="str">
        <v>千川投放（费率）</v>
      </c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91">
        <f>O39/$O$16</f>
      </c>
      <c r="Q42" s="1" t="str">
        <v>投放填写</v>
      </c>
    </row>
    <row outlineLevel="1" r="43">
      <c r="A43" s="88"/>
      <c r="B43" s="90" t="str">
        <v>站外投放（费率）</v>
      </c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91">
        <f>O40/$O$16</f>
      </c>
      <c r="Q43" s="1" t="str">
        <v>投放填写</v>
      </c>
    </row>
    <row r="44">
      <c r="B44" s="85" t="str">
        <v>线上营销费用</v>
      </c>
      <c r="C44" s="84">
        <f>SUM(C45:C46)</f>
      </c>
      <c r="D44" s="84">
        <f>SUM(D45:D46)</f>
      </c>
      <c r="E44" s="84">
        <f>SUM(E45:E46)</f>
      </c>
      <c r="F44" s="84">
        <f>SUM(F45:F46)</f>
      </c>
      <c r="G44" s="84">
        <f>SUM(G45:G46)</f>
      </c>
      <c r="H44" s="84">
        <f>SUM(H45:H46)</f>
      </c>
      <c r="I44" s="84">
        <f>SUM(I45:I46)</f>
      </c>
      <c r="J44" s="84">
        <f>SUM(J45:J46)</f>
      </c>
      <c r="K44" s="84">
        <f>SUM(K45:K46)</f>
      </c>
      <c r="L44" s="84">
        <f>SUM(L45:L46)</f>
      </c>
      <c r="M44" s="84">
        <f>SUM(M45:M46)</f>
      </c>
      <c r="N44" s="84">
        <f>SUM(N45:N46)</f>
      </c>
      <c r="O44" s="84">
        <f>SUM(C44:N44)</f>
      </c>
      <c r="P44" s="86">
        <f>O44/$O$16</f>
      </c>
      <c r="Q44" s="1"/>
    </row>
    <row r="45">
      <c r="A45" s="88"/>
      <c r="B45" s="90" t="str">
        <v>直播费用</v>
      </c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8"/>
      <c r="P45" s="91"/>
      <c r="Q45" s="1" t="str">
        <v>达人填写</v>
      </c>
    </row>
    <row r="46">
      <c r="A46" s="88"/>
      <c r="B46" s="90" t="str">
        <v>赠品费用</v>
      </c>
      <c r="C46" s="89">
        <v>3761.0619469026624</v>
      </c>
      <c r="D46" s="89">
        <v>5265.48672566371</v>
      </c>
      <c r="E46" s="89">
        <v>6769.911504424778</v>
      </c>
      <c r="F46" s="89">
        <v>5265.48672566371</v>
      </c>
      <c r="G46" s="89">
        <v>9778.761061946898</v>
      </c>
      <c r="H46" s="89">
        <v>10681.415929203533</v>
      </c>
      <c r="I46" s="89">
        <v>15796.460176991151</v>
      </c>
      <c r="J46" s="89">
        <v>18805.309734513266</v>
      </c>
      <c r="K46" s="89">
        <v>16398.23008849558</v>
      </c>
      <c r="L46" s="89">
        <v>20309.734513274336</v>
      </c>
      <c r="M46" s="89">
        <v>20309.734513274336</v>
      </c>
      <c r="N46" s="89">
        <v>17300.88495575222</v>
      </c>
      <c r="O46" s="88">
        <v>150442.47787610616</v>
      </c>
      <c r="P46" s="91">
        <v>0.03</v>
      </c>
      <c r="Q46" s="90" t="str">
        <v>渠道填写</v>
      </c>
    </row>
    <row r="47">
      <c r="B47" s="85" t="str">
        <v>线下市场费用</v>
      </c>
      <c r="C47" s="84">
        <f>SUM(C48:C51)</f>
      </c>
      <c r="D47" s="84">
        <f>SUM(D48:D51)</f>
      </c>
      <c r="E47" s="84">
        <f>SUM(E48:E51)</f>
      </c>
      <c r="F47" s="84">
        <f>SUM(F48:F51)</f>
      </c>
      <c r="G47" s="84">
        <f>SUM(G48:G51)</f>
      </c>
      <c r="H47" s="84">
        <f>SUM(H48:H51)</f>
      </c>
      <c r="I47" s="84">
        <f>SUM(I48:I51)</f>
      </c>
      <c r="J47" s="84">
        <f>SUM(J48:J51)</f>
      </c>
      <c r="K47" s="84">
        <f>SUM(K48:K51)</f>
      </c>
      <c r="L47" s="84">
        <f>SUM(L48:L51)</f>
      </c>
      <c r="M47" s="84">
        <f>SUM(M48:M51)</f>
      </c>
      <c r="N47" s="84">
        <f>SUM(N48:N51)</f>
      </c>
      <c r="O47" s="84">
        <f>SUM(C47:N47)</f>
      </c>
      <c r="P47" s="86">
        <f>O47/$O$16</f>
      </c>
      <c r="Q47" s="1"/>
    </row>
    <row r="48">
      <c r="A48" s="88"/>
      <c r="B48" s="90" t="str">
        <v>线下渠道展陈、促销费用</v>
      </c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8">
        <f>SUM(C48:N48)</f>
      </c>
      <c r="P48" s="91">
        <f>O48/$O$16</f>
      </c>
      <c r="Q48" s="90" t="str">
        <v>线下门店</v>
      </c>
    </row>
    <row r="49">
      <c r="A49" s="88"/>
      <c r="B49" s="90" t="str">
        <v>租金+物业+水电</v>
      </c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8">
        <f>SUM(C49:N49)</f>
      </c>
      <c r="P49" s="91">
        <f>O49/$O$16</f>
      </c>
      <c r="Q49" s="90" t="str">
        <v>线下门店</v>
      </c>
    </row>
    <row r="50">
      <c r="A50" s="88"/>
      <c r="B50" s="90" t="str">
        <v>门店人工</v>
      </c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8">
        <f>SUM(C50:N50)</f>
      </c>
      <c r="P50" s="91">
        <f>O50/$O$16</f>
      </c>
      <c r="Q50" s="90" t="str">
        <v>线下门店</v>
      </c>
    </row>
    <row r="51">
      <c r="B51" s="90" t="str">
        <v>门店展陈装修等其他</v>
      </c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8">
        <f>SUM(C51:N51)</f>
      </c>
      <c r="P51" s="91">
        <f>O51/$O$16</f>
      </c>
      <c r="Q51" s="90" t="str">
        <v>线下门店</v>
      </c>
    </row>
    <row r="52">
      <c r="B52" s="83" t="str">
        <v>市场投入费用</v>
      </c>
      <c r="C52" s="81">
        <f>SUM(C26,C37,C44,C47)</f>
      </c>
      <c r="D52" s="81">
        <f>SUM(D26,D37,D44,D47)</f>
      </c>
      <c r="E52" s="81">
        <f>SUM(E26,E37,E44,E47)</f>
      </c>
      <c r="F52" s="81">
        <f>SUM(F26,F37,F44,F47)</f>
      </c>
      <c r="G52" s="81">
        <f>SUM(G26,G37,G44,G47)</f>
      </c>
      <c r="H52" s="81">
        <f>SUM(H26,H37,H44,H47)</f>
      </c>
      <c r="I52" s="81">
        <f>SUM(I26,I37,I44,I47)</f>
      </c>
      <c r="J52" s="81">
        <f>SUM(J26,J37,J44,J47)</f>
      </c>
      <c r="K52" s="81">
        <f>SUM(K26,K37,K44,K47)</f>
      </c>
      <c r="L52" s="81">
        <f>SUM(L26,L37,L44,L47)</f>
      </c>
      <c r="M52" s="81">
        <f>SUM(M26,M37,M44,M47)</f>
      </c>
      <c r="N52" s="81">
        <f>SUM(N26,N37,N44,N47)</f>
      </c>
      <c r="O52" s="81">
        <f>SUM(C52:N52)</f>
      </c>
      <c r="P52" s="82">
        <f>O52/$O$16</f>
      </c>
      <c r="Q52" s="1"/>
    </row>
    <row r="53">
      <c r="A53" s="88"/>
      <c r="B53" s="90" t="str">
        <v>平台佣金</v>
      </c>
      <c r="C53" s="89">
        <f>C16*$P$53</f>
      </c>
      <c r="D53" s="89">
        <f>D16*$P$53</f>
      </c>
      <c r="E53" s="89">
        <f>E16*$P$53</f>
      </c>
      <c r="F53" s="89">
        <f>F16*$P$53</f>
      </c>
      <c r="G53" s="89">
        <f>G16*$P$53</f>
      </c>
      <c r="H53" s="89">
        <f>H16*$P$53</f>
      </c>
      <c r="I53" s="89">
        <f>I16*$P$53</f>
      </c>
      <c r="J53" s="89">
        <f>J16*$P$53</f>
      </c>
      <c r="K53" s="89">
        <f>K16*$P$53</f>
      </c>
      <c r="L53" s="89">
        <f>L16*$P$53</f>
      </c>
      <c r="M53" s="89">
        <f>M16*$P$53</f>
      </c>
      <c r="N53" s="89">
        <f>N16*$P$53</f>
      </c>
      <c r="O53" s="88">
        <f>SUM(C53:N53)</f>
      </c>
      <c r="P53" s="91">
        <v>0.05</v>
      </c>
      <c r="Q53" s="1"/>
    </row>
    <row r="54">
      <c r="A54" s="88"/>
      <c r="B54" s="90" t="str">
        <v>平台其他费用</v>
      </c>
      <c r="C54" s="89">
        <f>C16*$P$54</f>
      </c>
      <c r="D54" s="89">
        <f>D16*$P$54</f>
      </c>
      <c r="E54" s="89">
        <f>E16*$P$54</f>
      </c>
      <c r="F54" s="89">
        <f>F16*$P$54</f>
      </c>
      <c r="G54" s="89">
        <f>G16*$P$54</f>
      </c>
      <c r="H54" s="89">
        <f>H16*$P$54</f>
      </c>
      <c r="I54" s="89">
        <f>I16*$P$54</f>
      </c>
      <c r="J54" s="89">
        <f>J16*$P$54</f>
      </c>
      <c r="K54" s="89">
        <f>K16*$P$54</f>
      </c>
      <c r="L54" s="89">
        <f>L16*$P$54</f>
      </c>
      <c r="M54" s="89">
        <f>M16*$P$54</f>
      </c>
      <c r="N54" s="89">
        <f>N16*$P$54</f>
      </c>
      <c r="O54" s="88">
        <f>SUM(C54:N54)</f>
      </c>
      <c r="P54" s="91">
        <v>0.014</v>
      </c>
      <c r="Q54" s="1"/>
    </row>
    <row r="55">
      <c r="A55" s="88"/>
      <c r="B55" s="90" t="str">
        <v>售后费用</v>
      </c>
      <c r="C55" s="89">
        <v>23917.447833497765</v>
      </c>
      <c r="D55" s="89">
        <v>15639.888939430863</v>
      </c>
      <c r="E55" s="89">
        <v>12198.991580695769</v>
      </c>
      <c r="F55" s="89">
        <v>18773.555638981412</v>
      </c>
      <c r="G55" s="89">
        <v>16122.676741302374</v>
      </c>
      <c r="H55" s="89">
        <v>11295.047739810938</v>
      </c>
      <c r="I55" s="89">
        <v>15737.130165273784</v>
      </c>
      <c r="J55" s="89">
        <v>12175.074608258788</v>
      </c>
      <c r="K55" s="89">
        <v>16776.482781011237</v>
      </c>
      <c r="L55" s="89">
        <v>13242.124730647112</v>
      </c>
      <c r="M55" s="89">
        <v>11598.554459605153</v>
      </c>
      <c r="N55" s="89">
        <v>11316.440583117086</v>
      </c>
      <c r="O55" s="88">
        <f>SUM(C55:N55)</f>
      </c>
      <c r="P55" s="91">
        <v>0.03</v>
      </c>
      <c r="Q55" s="1"/>
    </row>
    <row r="56">
      <c r="A56" s="88"/>
      <c r="B56" s="90" t="str">
        <v>短信及店铺软件</v>
      </c>
      <c r="C56" s="89">
        <f>C16*$P$56</f>
      </c>
      <c r="D56" s="89">
        <f>D16*$P$56</f>
      </c>
      <c r="E56" s="89">
        <f>E16*$P$56</f>
      </c>
      <c r="F56" s="89">
        <f>F16*$P$56</f>
      </c>
      <c r="G56" s="89">
        <f>G16*$P$56</f>
      </c>
      <c r="H56" s="89">
        <f>H16*$P$56</f>
      </c>
      <c r="I56" s="89">
        <f>I16*$P$56</f>
      </c>
      <c r="J56" s="89">
        <f>J16*$P$56</f>
      </c>
      <c r="K56" s="89">
        <f>K16*$P$56</f>
      </c>
      <c r="L56" s="89">
        <f>L16*$P$56</f>
      </c>
      <c r="M56" s="89">
        <f>M16*$P$56</f>
      </c>
      <c r="N56" s="89">
        <f>N16*$P$56</f>
      </c>
      <c r="O56" s="88">
        <f>SUM(C56:N56)</f>
      </c>
      <c r="P56" s="91">
        <v>0.001</v>
      </c>
      <c r="Q56" s="1"/>
    </row>
    <row r="57">
      <c r="A57" s="88"/>
      <c r="B57" s="90" t="str">
        <v>其他运营费用（咨询调研等）</v>
      </c>
      <c r="C57" s="89">
        <v>2829.91137005741</v>
      </c>
      <c r="D57" s="89"/>
      <c r="E57" s="89"/>
      <c r="F57" s="89"/>
      <c r="G57" s="89">
        <v>1131.964548022964</v>
      </c>
      <c r="H57" s="89"/>
      <c r="I57" s="89"/>
      <c r="J57" s="89"/>
      <c r="K57" s="89"/>
      <c r="L57" s="89">
        <v>1131.964548022964</v>
      </c>
      <c r="M57" s="89"/>
      <c r="N57" s="89">
        <v>3395.8936440688917</v>
      </c>
      <c r="O57" s="88">
        <f>SUM(C57:N57)</f>
      </c>
      <c r="P57" s="91">
        <f>O57/$O$16</f>
      </c>
      <c r="Q57" s="90"/>
    </row>
    <row r="58">
      <c r="B58" s="83" t="str">
        <v>店铺运营费用</v>
      </c>
      <c r="C58" s="81">
        <f>SUM(C53:C57)</f>
      </c>
      <c r="D58" s="81">
        <f>SUM(D53:D57)</f>
      </c>
      <c r="E58" s="81">
        <f>SUM(E53:E57)</f>
      </c>
      <c r="F58" s="81">
        <f>SUM(F53:F57)</f>
      </c>
      <c r="G58" s="81">
        <f>SUM(G53:G57)</f>
      </c>
      <c r="H58" s="81">
        <f>SUM(H53:H57)</f>
      </c>
      <c r="I58" s="81">
        <f>SUM(I53:I57)</f>
      </c>
      <c r="J58" s="81">
        <f>SUM(J53:J57)</f>
      </c>
      <c r="K58" s="81">
        <f>SUM(K53:K57)</f>
      </c>
      <c r="L58" s="81">
        <f>SUM(L53:L57)</f>
      </c>
      <c r="M58" s="81">
        <f>SUM(M53:M57)</f>
      </c>
      <c r="N58" s="81">
        <f>SUM(N53:N57)</f>
      </c>
      <c r="O58" s="81">
        <f>SUM(C58:N58)</f>
      </c>
      <c r="P58" s="82">
        <f>O58/$O$16</f>
      </c>
      <c r="Q58" s="1"/>
    </row>
    <row r="59">
      <c r="A59" s="97"/>
      <c r="B59" s="98" t="str">
        <v>A&amp;P 合计数</v>
      </c>
      <c r="C59" s="95">
        <f>SUM(C52,C58)</f>
      </c>
      <c r="D59" s="95">
        <f>SUM(D52,D58)</f>
      </c>
      <c r="E59" s="95">
        <f>SUM(E52,E58)</f>
      </c>
      <c r="F59" s="95">
        <f>SUM(F52,F58)</f>
      </c>
      <c r="G59" s="95">
        <f>SUM(G52,G58)</f>
      </c>
      <c r="H59" s="95">
        <f>SUM(H52,H58)</f>
      </c>
      <c r="I59" s="95">
        <f>SUM(I52,I58)</f>
      </c>
      <c r="J59" s="95">
        <f>SUM(J52,J58)</f>
      </c>
      <c r="K59" s="95">
        <f>SUM(K52,K58)</f>
      </c>
      <c r="L59" s="95">
        <f>SUM(L52,L58)</f>
      </c>
      <c r="M59" s="95">
        <f>SUM(M52,M58)</f>
      </c>
      <c r="N59" s="95">
        <f>SUM(N52,N58)</f>
      </c>
      <c r="O59" s="95">
        <f>SUM(C59:N59)</f>
      </c>
      <c r="P59" s="96">
        <f>O59/$O$16</f>
      </c>
      <c r="Q59" s="135"/>
      <c r="R59" s="106"/>
    </row>
    <row r="60">
      <c r="A60" s="97"/>
      <c r="B60" s="98" t="str">
        <v>店铺利润</v>
      </c>
      <c r="C60" s="95">
        <f>C22-C59</f>
      </c>
      <c r="D60" s="95">
        <f>D22-D59</f>
      </c>
      <c r="E60" s="95">
        <f>E22-E59</f>
      </c>
      <c r="F60" s="95">
        <f>F22-F59</f>
      </c>
      <c r="G60" s="95">
        <f>G22-G59</f>
      </c>
      <c r="H60" s="95">
        <f>H22-H59</f>
      </c>
      <c r="I60" s="95">
        <f>I22-I59</f>
      </c>
      <c r="J60" s="95">
        <f>J22-J59</f>
      </c>
      <c r="K60" s="95">
        <f>K22-K59</f>
      </c>
      <c r="L60" s="95">
        <f>L22-L59</f>
      </c>
      <c r="M60" s="95">
        <f>M22-M59</f>
      </c>
      <c r="N60" s="95">
        <f>N22-N59</f>
      </c>
      <c r="O60" s="95">
        <f>SUM(C60:N60)</f>
      </c>
      <c r="P60" s="96">
        <f>O60/$O$16</f>
      </c>
      <c r="Q60" s="135"/>
      <c r="R60" s="107"/>
    </row>
    <row r="61">
      <c r="Q61" s="1"/>
    </row>
    <row r="62">
      <c r="B62" s="179" t="str">
        <v>辅助计算</v>
      </c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58">
        <f>O16-O18-O20-O37-O44-O47-O58-O60</f>
      </c>
      <c r="Q62" s="1"/>
    </row>
    <row r="63">
      <c r="B63" s="181" t="str">
        <v>国补后价格(销量加权)</v>
      </c>
      <c r="C63" s="181">
        <v>366.6</v>
      </c>
      <c r="D63" s="181">
        <v>362.6</v>
      </c>
      <c r="E63" s="181">
        <v>362.8</v>
      </c>
      <c r="F63" s="181">
        <v>357</v>
      </c>
      <c r="G63" s="181">
        <v>376.4</v>
      </c>
      <c r="H63" s="181">
        <v>376.1</v>
      </c>
      <c r="I63" s="181">
        <v>401.9</v>
      </c>
      <c r="J63" s="181">
        <v>400.9</v>
      </c>
      <c r="K63" s="181">
        <v>401.8</v>
      </c>
      <c r="L63" s="181">
        <v>398.6</v>
      </c>
      <c r="M63" s="181">
        <v>397.7</v>
      </c>
      <c r="N63" s="181">
        <v>392.4</v>
      </c>
      <c r="Q63" s="1"/>
    </row>
    <row r="64">
      <c r="B64" s="181" t="str">
        <v>成本不含税（销量加权）</v>
      </c>
      <c r="C64" s="181">
        <v>158.8</v>
      </c>
      <c r="D64" s="181">
        <v>156.4</v>
      </c>
      <c r="E64" s="181">
        <v>165.1</v>
      </c>
      <c r="F64" s="181">
        <v>162.9</v>
      </c>
      <c r="G64" s="181">
        <v>153</v>
      </c>
      <c r="H64" s="181">
        <v>155.3</v>
      </c>
      <c r="I64" s="181">
        <v>153.3</v>
      </c>
      <c r="J64" s="181">
        <v>152.5</v>
      </c>
      <c r="K64" s="181">
        <v>150.2</v>
      </c>
      <c r="L64" s="181">
        <v>146.6</v>
      </c>
      <c r="M64" s="181">
        <v>142.9</v>
      </c>
      <c r="N64" s="181">
        <v>139.6</v>
      </c>
      <c r="Q64" s="1"/>
    </row>
    <row r="65">
      <c r="B65" s="179" t="str">
        <v>退后销量</v>
      </c>
      <c r="C65" s="178">
        <f>C8/C63</f>
      </c>
      <c r="D65" s="178">
        <f>D8/D63</f>
      </c>
      <c r="E65" s="178">
        <f>E8/E63</f>
      </c>
      <c r="F65" s="178">
        <f>F8/F63</f>
      </c>
      <c r="G65" s="178">
        <f>G8/G63</f>
      </c>
      <c r="H65" s="178">
        <f>H8/H63</f>
      </c>
      <c r="I65" s="178">
        <f>I8/I63</f>
      </c>
      <c r="J65" s="178">
        <f>J8/J63</f>
      </c>
      <c r="K65" s="178">
        <f>K8/K63</f>
      </c>
      <c r="L65" s="178">
        <f>L8/L63</f>
      </c>
      <c r="M65" s="178">
        <f>M8/M63</f>
      </c>
      <c r="N65" s="178">
        <f>N8/N63</f>
      </c>
      <c r="Q65" s="1"/>
    </row>
    <row r="66">
      <c r="Q66" s="1"/>
    </row>
    <row r="67">
      <c r="Q67" s="1"/>
    </row>
    <row r="68">
      <c r="Q68" s="1"/>
    </row>
    <row r="69">
      <c r="Q69" s="1"/>
    </row>
    <row r="70">
      <c r="Q70" s="1"/>
    </row>
    <row r="71">
      <c r="Q71" s="1"/>
    </row>
    <row r="72">
      <c r="Q72" s="1"/>
    </row>
    <row r="73">
      <c r="Q73" s="1"/>
    </row>
    <row r="74">
      <c r="Q74" s="1"/>
    </row>
    <row r="75">
      <c r="Q75" s="1"/>
    </row>
    <row r="76">
      <c r="Q76" s="1"/>
    </row>
    <row r="77">
      <c r="Q77" s="1"/>
    </row>
    <row r="78">
      <c r="Q78" s="1"/>
    </row>
    <row r="79">
      <c r="Q79" s="1"/>
    </row>
    <row r="80">
      <c r="Q80" s="1"/>
    </row>
    <row r="81">
      <c r="C81" s="158">
        <f>C16-C18-C20-C26-C37-C44-C47-C58-C60</f>
      </c>
      <c r="D81" s="158">
        <f>D16-D18-D20-D26-D37-D44-D47-D58-D60</f>
      </c>
      <c r="E81" s="158">
        <f>E16-E18-E20-E26-E37-E44-E47-E58-E60</f>
      </c>
      <c r="F81" s="158">
        <f>F16-F18-F20-F26-F37-F44-F47-F58-F60</f>
      </c>
      <c r="G81" s="158">
        <f>G16-G18-G20-G26-G37-G44-G47-G58-G60</f>
      </c>
      <c r="H81" s="158">
        <f>H16-H18-H20-H26-H37-H44-H47-H58-H60</f>
      </c>
      <c r="I81" s="158">
        <f>I16-I18-I20-I26-I37-I44-I47-I58-I60</f>
      </c>
      <c r="J81" s="158">
        <f>J16-J18-J20-J26-J37-J44-J47-J58-J60</f>
      </c>
      <c r="K81" s="158">
        <f>K16-K18-K20-K26-K37-K44-K47-K58-K60</f>
      </c>
      <c r="L81" s="158">
        <f>L16-L18-L20-L26-L37-L44-L47-L58-L60</f>
      </c>
      <c r="M81" s="158">
        <f>M16-M18-M20-M26-M37-M44-M47-M58-M60</f>
      </c>
      <c r="N81" s="158">
        <f>N16-N18-N20-N26-N37-N44-N47-N58-N60</f>
      </c>
      <c r="O81" s="158">
        <f>O16-O18-O20-O26-O37-O44-O47-O58-O60</f>
      </c>
      <c r="Q81" s="1"/>
    </row>
    <row r="82">
      <c r="C82" s="119">
        <f>C10-C11-C12-C13-C15</f>
      </c>
      <c r="D82" s="119">
        <f>D10-D11-D12-D13-D15</f>
      </c>
      <c r="E82" s="119">
        <f>E10-E11-E12-E13-E15</f>
      </c>
      <c r="F82" s="119">
        <f>F10-F11-F12-F13-F15</f>
      </c>
      <c r="G82" s="119">
        <f>G10-G11-G12-G13-G15</f>
      </c>
      <c r="H82" s="119">
        <f>H10-H11-H12-H13-H15</f>
      </c>
      <c r="I82" s="119">
        <f>I10-I11-I12-I13-I15</f>
      </c>
      <c r="J82" s="119">
        <f>J10-J11-J12-J13-J15</f>
      </c>
      <c r="K82" s="119">
        <f>K10-K11-K12-K13-K15</f>
      </c>
      <c r="L82" s="119">
        <f>L10-L11-L12-L13-L15</f>
      </c>
      <c r="M82" s="119">
        <f>M10-M11-M12-M13-M15</f>
      </c>
      <c r="N82" s="119">
        <f>N10-N11-N12-N13-N15</f>
      </c>
      <c r="O82" s="119">
        <f>O10-O11-O12-O13-O15</f>
      </c>
      <c r="Q82" s="1"/>
    </row>
    <row r="83">
      <c r="Q83" s="1"/>
    </row>
    <row r="84">
      <c r="Q84" s="1"/>
    </row>
    <row r="85">
      <c r="Q85" s="1"/>
    </row>
    <row r="86">
      <c r="Q86" s="1"/>
    </row>
    <row r="87">
      <c r="Q87" s="1"/>
    </row>
    <row r="88">
      <c r="Q88" s="1"/>
    </row>
    <row r="89">
      <c r="Q89" s="1"/>
    </row>
    <row r="90">
      <c r="Q90" s="1"/>
    </row>
    <row r="91">
      <c r="Q91" s="1"/>
    </row>
    <row r="92">
      <c r="Q92" s="1"/>
    </row>
    <row r="93">
      <c r="B93" s="1" t="str">
        <v>分摊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Q93" s="1"/>
    </row>
    <row r="94">
      <c r="B94" s="85" t="str">
        <v>品牌及内容费用</v>
      </c>
      <c r="C94" s="127">
        <f>SUM(C95:C99)</f>
      </c>
      <c r="D94" s="127">
        <f>SUM(D95:D99)</f>
      </c>
      <c r="E94" s="127">
        <f>SUM(E95:E99)</f>
      </c>
      <c r="F94" s="127">
        <f>SUM(F95:F99)</f>
      </c>
      <c r="G94" s="127">
        <f>SUM(G95:G99)</f>
      </c>
      <c r="H94" s="127">
        <f>SUM(H95:H99)</f>
      </c>
      <c r="I94" s="127">
        <f>SUM(I95:I99)</f>
      </c>
      <c r="J94" s="127">
        <f>SUM(J95:J99)</f>
      </c>
      <c r="K94" s="127">
        <f>SUM(K95:K99)</f>
      </c>
      <c r="L94" s="127">
        <f>SUM(L95:L99)</f>
      </c>
      <c r="M94" s="127">
        <f>SUM(M95:M99)</f>
      </c>
      <c r="N94" s="127">
        <f>SUM(N95:N99)</f>
      </c>
      <c r="Q94" s="1"/>
    </row>
    <row r="95">
      <c r="B95" s="90" t="str">
        <v>展会</v>
      </c>
      <c r="C95" s="170">
        <f>'线下门店-小计'!C27*(C15/('26年全渠道汇总'!C15-'线下门店-小计'!C15))</f>
      </c>
      <c r="D95" s="170">
        <f>'线下门店-小计'!D27*(D15/('26年全渠道汇总'!D15-'线下门店-小计'!D15))</f>
      </c>
      <c r="E95" s="170">
        <f>'线下门店-小计'!E27*(E15/('26年全渠道汇总'!E15-'线下门店-小计'!E15))</f>
      </c>
      <c r="F95" s="170">
        <f>'线下门店-小计'!F27*(F15/('26年全渠道汇总'!F15-'线下门店-小计'!F15))</f>
      </c>
      <c r="G95" s="170">
        <f>'线下门店-小计'!G27*(G15/('26年全渠道汇总'!G15-'线下门店-小计'!G15))</f>
      </c>
      <c r="H95" s="170">
        <f>'线下门店-小计'!H27*(H15/('26年全渠道汇总'!H15-'线下门店-小计'!H15))</f>
      </c>
      <c r="I95" s="170">
        <f>'线下门店-小计'!I27*(I15/('26年全渠道汇总'!I15-'线下门店-小计'!I15))</f>
      </c>
      <c r="J95" s="170">
        <f>'线下门店-小计'!J27*(J15/('26年全渠道汇总'!J15-'线下门店-小计'!J15))</f>
      </c>
      <c r="K95" s="170">
        <f>'线下门店-小计'!K27*(K15/('26年全渠道汇总'!K15-'线下门店-小计'!K15))</f>
      </c>
      <c r="L95" s="170">
        <f>'线下门店-小计'!L27*(L15/('26年全渠道汇总'!L15-'线下门店-小计'!L15))</f>
      </c>
      <c r="M95" s="170">
        <f>'线下门店-小计'!M27*(M15/('26年全渠道汇总'!M15-'线下门店-小计'!M15))</f>
      </c>
      <c r="N95" s="170">
        <f>'线下门店-小计'!N27*(N15/('26年全渠道汇总'!N15-'线下门店-小计'!N15))</f>
      </c>
      <c r="Q95" s="1"/>
    </row>
    <row r="96">
      <c r="B96" s="90" t="str">
        <v>品牌营销</v>
      </c>
      <c r="C96" s="170">
        <f>'线下门店-小计'!C28*(C15/('26年全渠道汇总'!C15-'线下门店-小计'!C15))</f>
      </c>
      <c r="D96" s="170">
        <f>'线下门店-小计'!D28*(D15/('26年全渠道汇总'!D15-'线下门店-小计'!D15))</f>
      </c>
      <c r="E96" s="170">
        <f>'线下门店-小计'!E28*(E15/('26年全渠道汇总'!E15-'线下门店-小计'!E15))</f>
      </c>
      <c r="F96" s="170">
        <f>'线下门店-小计'!F28*(F15/('26年全渠道汇总'!F15-'线下门店-小计'!F15))</f>
      </c>
      <c r="G96" s="170">
        <f>'线下门店-小计'!G28*(G15/('26年全渠道汇总'!G15-'线下门店-小计'!G15))</f>
      </c>
      <c r="H96" s="170">
        <f>'线下门店-小计'!H28*(H15/('26年全渠道汇总'!H15-'线下门店-小计'!H15))</f>
      </c>
      <c r="I96" s="170">
        <f>'线下门店-小计'!I28*(I15/('26年全渠道汇总'!I15-'线下门店-小计'!I15))</f>
      </c>
      <c r="J96" s="170">
        <f>'线下门店-小计'!J28*(J15/('26年全渠道汇总'!J15-'线下门店-小计'!J15))</f>
      </c>
      <c r="K96" s="170">
        <f>'线下门店-小计'!K28*(K15/('26年全渠道汇总'!K15-'线下门店-小计'!K15))</f>
      </c>
      <c r="L96" s="170">
        <f>'线下门店-小计'!L28*(L15/('26年全渠道汇总'!L15-'线下门店-小计'!L15))</f>
      </c>
      <c r="M96" s="170">
        <f>'线下门店-小计'!M28*(M15/('26年全渠道汇总'!M15-'线下门店-小计'!M15))</f>
      </c>
      <c r="N96" s="170">
        <f>'线下门店-小计'!N28*(N15/('26年全渠道汇总'!N15-'线下门店-小计'!N15))</f>
      </c>
      <c r="Q96" s="1"/>
    </row>
    <row r="97">
      <c r="B97" s="90" t="str">
        <v>内容素材制作</v>
      </c>
      <c r="C97" s="170">
        <f>'线下门店-小计'!C29*(C15/('26年全渠道汇总'!C15-'线下门店-小计'!C15))</f>
      </c>
      <c r="D97" s="170">
        <f>'线下门店-小计'!D29*(D15/('26年全渠道汇总'!D15-'线下门店-小计'!D15))</f>
      </c>
      <c r="E97" s="170">
        <f>'线下门店-小计'!E29*(E15/('26年全渠道汇总'!E15-'线下门店-小计'!E15))</f>
      </c>
      <c r="F97" s="170">
        <f>'线下门店-小计'!F29*(F15/('26年全渠道汇总'!F15-'线下门店-小计'!F15))</f>
      </c>
      <c r="G97" s="170">
        <f>'线下门店-小计'!G29*(G15/('26年全渠道汇总'!G15-'线下门店-小计'!G15))</f>
      </c>
      <c r="H97" s="170">
        <f>'线下门店-小计'!H29*(H15/('26年全渠道汇总'!H15-'线下门店-小计'!H15))</f>
      </c>
      <c r="I97" s="170">
        <f>'线下门店-小计'!I29*(I15/('26年全渠道汇总'!I15-'线下门店-小计'!I15))</f>
      </c>
      <c r="J97" s="170">
        <f>'线下门店-小计'!J29*(J15/('26年全渠道汇总'!J15-'线下门店-小计'!J15))</f>
      </c>
      <c r="K97" s="170">
        <f>'线下门店-小计'!K29*(K15/('26年全渠道汇总'!K15-'线下门店-小计'!K15))</f>
      </c>
      <c r="L97" s="170">
        <f>'线下门店-小计'!L29*(L15/('26年全渠道汇总'!L15-'线下门店-小计'!L15))</f>
      </c>
      <c r="M97" s="170">
        <f>'线下门店-小计'!M29*(M15/('26年全渠道汇总'!M15-'线下门店-小计'!M15))</f>
      </c>
      <c r="N97" s="170">
        <f>'线下门店-小计'!N29*(N15/('26年全渠道汇总'!N15-'线下门店-小计'!N15))</f>
      </c>
      <c r="Q97" s="1"/>
    </row>
    <row r="98">
      <c r="B98" s="90" t="str">
        <v>公关费用</v>
      </c>
      <c r="C98" s="170">
        <f>'线下门店-小计'!C30*(C15/('26年全渠道汇总'!C15-'线下门店-小计'!C15))</f>
      </c>
      <c r="D98" s="170">
        <f>'线下门店-小计'!D30*(D15/('26年全渠道汇总'!D15-'线下门店-小计'!D15))</f>
      </c>
      <c r="E98" s="170">
        <f>'线下门店-小计'!E30*(E15/('26年全渠道汇总'!E15-'线下门店-小计'!E15))</f>
      </c>
      <c r="F98" s="170">
        <f>'线下门店-小计'!F30*(F15/('26年全渠道汇总'!F15-'线下门店-小计'!F15))</f>
      </c>
      <c r="G98" s="170">
        <f>'线下门店-小计'!G30*(G15/('26年全渠道汇总'!G15-'线下门店-小计'!G15))</f>
      </c>
      <c r="H98" s="170">
        <f>'线下门店-小计'!H30*(H15/('26年全渠道汇总'!H15-'线下门店-小计'!H15))</f>
      </c>
      <c r="I98" s="170">
        <f>'线下门店-小计'!I30*(I15/('26年全渠道汇总'!I15-'线下门店-小计'!I15))</f>
      </c>
      <c r="J98" s="170">
        <f>'线下门店-小计'!J30*(J15/('26年全渠道汇总'!J15-'线下门店-小计'!J15))</f>
      </c>
      <c r="K98" s="170">
        <f>'线下门店-小计'!K30*(K15/('26年全渠道汇总'!K15-'线下门店-小计'!K15))</f>
      </c>
      <c r="L98" s="170">
        <f>'线下门店-小计'!L30*(L15/('26年全渠道汇总'!L15-'线下门店-小计'!L15))</f>
      </c>
      <c r="M98" s="170">
        <f>'线下门店-小计'!M30*(M15/('26年全渠道汇总'!M15-'线下门店-小计'!M15))</f>
      </c>
      <c r="N98" s="170">
        <f>'线下门店-小计'!N30*(N15/('26年全渠道汇总'!N15-'线下门店-小计'!N15))</f>
      </c>
      <c r="Q98" s="1"/>
    </row>
    <row r="99">
      <c r="B99" s="90" t="str">
        <v>达人种草、样机及加热</v>
      </c>
      <c r="C99" s="170">
        <f>'线下门店-小计'!C31*(C15/('26年全渠道汇总'!C15-'线下门店-小计'!C15))</f>
      </c>
      <c r="D99" s="170">
        <f>'线下门店-小计'!D31*(D15/('26年全渠道汇总'!D15-'线下门店-小计'!D15))</f>
      </c>
      <c r="E99" s="170">
        <f>'线下门店-小计'!E31*(E15/('26年全渠道汇总'!E15-'线下门店-小计'!E15))</f>
      </c>
      <c r="F99" s="170">
        <f>'线下门店-小计'!F31*(F15/('26年全渠道汇总'!F15-'线下门店-小计'!F15))</f>
      </c>
      <c r="G99" s="170">
        <f>'线下门店-小计'!G31*(G15/('26年全渠道汇总'!G15-'线下门店-小计'!G15))</f>
      </c>
      <c r="H99" s="170">
        <f>'线下门店-小计'!H31*(H15/('26年全渠道汇总'!H15-'线下门店-小计'!H15))</f>
      </c>
      <c r="I99" s="170">
        <f>'线下门店-小计'!I31*(I15/('26年全渠道汇总'!I15-'线下门店-小计'!I15))</f>
      </c>
      <c r="J99" s="170">
        <f>'线下门店-小计'!J31*(J15/('26年全渠道汇总'!J15-'线下门店-小计'!J15))</f>
      </c>
      <c r="K99" s="170">
        <f>'线下门店-小计'!K31*(K15/('26年全渠道汇总'!K15-'线下门店-小计'!K15))</f>
      </c>
      <c r="L99" s="170">
        <f>'线下门店-小计'!L31*(L15/('26年全渠道汇总'!L15-'线下门店-小计'!L15))</f>
      </c>
      <c r="M99" s="170">
        <f>'线下门店-小计'!M31*(M15/('26年全渠道汇总'!M15-'线下门店-小计'!M15))</f>
      </c>
      <c r="N99" s="170">
        <f>'线下门店-小计'!N31*(N15/('26年全渠道汇总'!N15-'线下门店-小计'!N15))</f>
      </c>
      <c r="Q99" s="1"/>
    </row>
    <row r="100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Q100" s="1"/>
    </row>
    <row r="101">
      <c r="B101" s="1" t="str">
        <v>总计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Q101" s="1"/>
    </row>
    <row r="102">
      <c r="B102" s="85" t="str">
        <v>品牌及内容费用</v>
      </c>
      <c r="C102" s="127">
        <f>SUM(C103:C107)</f>
      </c>
      <c r="D102" s="127">
        <f>SUM(D103:D107)</f>
      </c>
      <c r="E102" s="127">
        <f>SUM(E103:E107)</f>
      </c>
      <c r="F102" s="127">
        <f>SUM(F103:F107)</f>
      </c>
      <c r="G102" s="127">
        <f>SUM(G103:G107)</f>
      </c>
      <c r="H102" s="127">
        <f>SUM(H103:H107)</f>
      </c>
      <c r="I102" s="127">
        <f>SUM(I103:I107)</f>
      </c>
      <c r="J102" s="127">
        <f>SUM(J103:J107)</f>
      </c>
      <c r="K102" s="127">
        <f>SUM(K103:K107)</f>
      </c>
      <c r="L102" s="127">
        <f>SUM(L103:L107)</f>
      </c>
      <c r="M102" s="127">
        <f>SUM(M103:M107)</f>
      </c>
      <c r="N102" s="127">
        <f>SUM(N103:N107)</f>
      </c>
      <c r="Q102" s="1"/>
    </row>
    <row r="103">
      <c r="B103" s="90" t="str">
        <v>展会</v>
      </c>
      <c r="C103" s="170">
        <f>C95+C27</f>
      </c>
      <c r="D103" s="170">
        <f>D95+D27</f>
      </c>
      <c r="E103" s="170">
        <f>E95+E27</f>
      </c>
      <c r="F103" s="170">
        <f>F95+F27</f>
      </c>
      <c r="G103" s="170">
        <f>G95+G27</f>
      </c>
      <c r="H103" s="170">
        <f>H95+H27</f>
      </c>
      <c r="I103" s="170">
        <f>I95+I27</f>
      </c>
      <c r="J103" s="170">
        <f>J95+J27</f>
      </c>
      <c r="K103" s="170">
        <f>K95+K27</f>
      </c>
      <c r="L103" s="170">
        <f>L95+L27</f>
      </c>
      <c r="M103" s="170">
        <f>M95+M27</f>
      </c>
      <c r="N103" s="170">
        <f>N95+N27</f>
      </c>
      <c r="Q103" s="1"/>
    </row>
    <row r="104">
      <c r="B104" s="90" t="str">
        <v>品牌营销</v>
      </c>
      <c r="C104" s="170">
        <f>C96+C28</f>
      </c>
      <c r="D104" s="170">
        <f>D96+D28</f>
      </c>
      <c r="E104" s="170">
        <f>E96+E28</f>
      </c>
      <c r="F104" s="170">
        <f>F96+F28</f>
      </c>
      <c r="G104" s="170">
        <f>G96+G28</f>
      </c>
      <c r="H104" s="170">
        <f>H96+H28</f>
      </c>
      <c r="I104" s="170">
        <f>I96+I28</f>
      </c>
      <c r="J104" s="170">
        <f>J96+J28</f>
      </c>
      <c r="K104" s="170">
        <f>K96+K28</f>
      </c>
      <c r="L104" s="170">
        <f>L96+L28</f>
      </c>
      <c r="M104" s="170">
        <f>M96+M28</f>
      </c>
      <c r="N104" s="170">
        <f>N96+N28</f>
      </c>
      <c r="Q104" s="1"/>
    </row>
    <row r="105">
      <c r="B105" s="90" t="str">
        <v>内容素材制作</v>
      </c>
      <c r="C105" s="170">
        <f>C97+C29</f>
      </c>
      <c r="D105" s="170">
        <f>D97+D29</f>
      </c>
      <c r="E105" s="170">
        <f>E97+E29</f>
      </c>
      <c r="F105" s="170">
        <f>F97+F29</f>
      </c>
      <c r="G105" s="170">
        <f>G97+G29</f>
      </c>
      <c r="H105" s="170">
        <f>H97+H29</f>
      </c>
      <c r="I105" s="170">
        <f>I97+I29</f>
      </c>
      <c r="J105" s="170">
        <f>J97+J29</f>
      </c>
      <c r="K105" s="170">
        <f>K97+K29</f>
      </c>
      <c r="L105" s="170">
        <f>L97+L29</f>
      </c>
      <c r="M105" s="170">
        <f>M97+M29</f>
      </c>
      <c r="N105" s="170">
        <f>N97+N29</f>
      </c>
      <c r="Q105" s="1"/>
    </row>
    <row r="106">
      <c r="B106" s="90" t="str">
        <v>公关费用</v>
      </c>
      <c r="C106" s="170">
        <f>C98+C30</f>
      </c>
      <c r="D106" s="170">
        <f>D98+D30</f>
      </c>
      <c r="E106" s="170">
        <f>E98+E30</f>
      </c>
      <c r="F106" s="170">
        <f>F98+F30</f>
      </c>
      <c r="G106" s="170">
        <f>G98+G30</f>
      </c>
      <c r="H106" s="170">
        <f>H98+H30</f>
      </c>
      <c r="I106" s="170">
        <f>I98+I30</f>
      </c>
      <c r="J106" s="170">
        <f>J98+J30</f>
      </c>
      <c r="K106" s="170">
        <f>K98+K30</f>
      </c>
      <c r="L106" s="170">
        <f>L98+L30</f>
      </c>
      <c r="M106" s="170">
        <f>M98+M30</f>
      </c>
      <c r="N106" s="170">
        <f>N98+N30</f>
      </c>
      <c r="Q106" s="1"/>
    </row>
    <row r="107">
      <c r="B107" s="90" t="str">
        <v>达人种草、样机及加热</v>
      </c>
      <c r="C107" s="170">
        <f>C99+C31</f>
      </c>
      <c r="D107" s="170">
        <f>D99+D31</f>
      </c>
      <c r="E107" s="170">
        <f>E99+E31</f>
      </c>
      <c r="F107" s="170">
        <f>F99+F31</f>
      </c>
      <c r="G107" s="170">
        <f>G99+G31</f>
      </c>
      <c r="H107" s="170">
        <f>H99+H31</f>
      </c>
      <c r="I107" s="170">
        <f>I99+I31</f>
      </c>
      <c r="J107" s="170">
        <f>J99+J31</f>
      </c>
      <c r="K107" s="170">
        <f>K99+K31</f>
      </c>
      <c r="L107" s="170">
        <f>L99+L31</f>
      </c>
      <c r="M107" s="170">
        <f>M99+M31</f>
      </c>
      <c r="N107" s="170">
        <f>N99+N31</f>
      </c>
      <c r="Q107" s="1"/>
    </row>
    <row r="108">
      <c r="Q108" s="1"/>
    </row>
    <row r="109">
      <c r="Q109" s="1"/>
    </row>
    <row r="110">
      <c r="Q110" s="1"/>
    </row>
    <row r="111">
      <c r="Q111" s="1"/>
    </row>
    <row r="112">
      <c r="Q112" s="1"/>
    </row>
    <row r="113">
      <c r="Q113" s="1"/>
    </row>
    <row r="114">
      <c r="Q114" s="1"/>
    </row>
    <row r="115">
      <c r="Q115" s="1"/>
    </row>
    <row r="116">
      <c r="Q116" s="1"/>
    </row>
    <row r="117">
      <c r="Q117" s="1"/>
    </row>
    <row r="118">
      <c r="Q118" s="1"/>
    </row>
    <row r="119">
      <c r="Q119" s="1"/>
    </row>
    <row r="120">
      <c r="Q120" s="1"/>
    </row>
    <row r="121">
      <c r="Q121" s="1"/>
    </row>
    <row r="122">
      <c r="Q122" s="1"/>
    </row>
    <row r="123">
      <c r="Q123" s="1"/>
    </row>
    <row r="124">
      <c r="Q124" s="1"/>
    </row>
    <row r="125">
      <c r="Q125" s="1"/>
    </row>
    <row r="126">
      <c r="Q126" s="1"/>
    </row>
    <row r="127">
      <c r="Q127" s="1"/>
    </row>
    <row r="128">
      <c r="Q128" s="1"/>
    </row>
    <row r="129">
      <c r="Q129" s="1"/>
    </row>
    <row r="130">
      <c r="Q130" s="1"/>
    </row>
    <row r="131">
      <c r="Q131" s="1"/>
    </row>
    <row r="132">
      <c r="Q132" s="1"/>
    </row>
    <row r="133">
      <c r="Q133" s="1"/>
    </row>
    <row r="134">
      <c r="Q134" s="1"/>
    </row>
    <row r="135">
      <c r="Q135" s="1"/>
    </row>
    <row r="136">
      <c r="Q136" s="1"/>
    </row>
    <row r="137">
      <c r="Q137" s="1"/>
    </row>
    <row r="138">
      <c r="Q138" s="1"/>
    </row>
    <row r="139">
      <c r="Q139" s="1"/>
    </row>
    <row r="140">
      <c r="Q140" s="1"/>
    </row>
    <row r="141">
      <c r="Q141" s="1"/>
    </row>
    <row r="142">
      <c r="Q142" s="1"/>
    </row>
    <row r="143">
      <c r="Q143" s="1"/>
    </row>
    <row r="144">
      <c r="Q144" s="1"/>
    </row>
    <row r="145">
      <c r="Q145" s="1"/>
    </row>
    <row r="146">
      <c r="Q146" s="1"/>
    </row>
    <row r="147">
      <c r="Q147" s="1"/>
    </row>
    <row r="148">
      <c r="Q148" s="1"/>
    </row>
    <row r="149">
      <c r="Q149" s="1"/>
    </row>
    <row r="150">
      <c r="Q150" s="1"/>
    </row>
    <row r="151">
      <c r="Q151" s="1"/>
    </row>
    <row r="152">
      <c r="Q152" s="1"/>
    </row>
    <row r="153">
      <c r="Q153" s="1"/>
    </row>
    <row r="154">
      <c r="Q154" s="1"/>
    </row>
    <row r="155">
      <c r="Q155" s="1"/>
    </row>
    <row r="156">
      <c r="Q156" s="1"/>
    </row>
    <row r="157">
      <c r="Q157" s="1"/>
    </row>
    <row r="158">
      <c r="Q158" s="1"/>
    </row>
    <row r="159">
      <c r="Q159" s="1"/>
    </row>
    <row r="160">
      <c r="Q160" s="1"/>
    </row>
    <row r="161">
      <c r="Q161" s="1"/>
    </row>
    <row r="162">
      <c r="Q162" s="1"/>
    </row>
    <row r="163">
      <c r="Q163" s="1"/>
    </row>
    <row r="164">
      <c r="Q164" s="1"/>
    </row>
    <row r="165">
      <c r="Q165" s="1"/>
    </row>
    <row r="166">
      <c r="Q166" s="1"/>
    </row>
    <row r="167">
      <c r="Q167" s="1"/>
    </row>
    <row r="168">
      <c r="Q168" s="1"/>
    </row>
    <row r="169">
      <c r="Q169" s="1"/>
    </row>
    <row r="170">
      <c r="Q170" s="1"/>
    </row>
    <row r="171">
      <c r="Q171" s="1"/>
    </row>
    <row r="172">
      <c r="Q172" s="1"/>
    </row>
    <row r="173">
      <c r="Q173" s="1"/>
    </row>
    <row r="174">
      <c r="Q174" s="1"/>
    </row>
    <row r="175">
      <c r="Q175" s="1"/>
    </row>
    <row r="176">
      <c r="Q176" s="1"/>
    </row>
    <row r="177">
      <c r="Q177" s="1"/>
    </row>
    <row r="178">
      <c r="Q178" s="1"/>
    </row>
    <row r="179">
      <c r="Q179" s="1"/>
    </row>
    <row r="180">
      <c r="Q180" s="1"/>
    </row>
    <row r="181">
      <c r="Q181" s="1"/>
    </row>
    <row r="182">
      <c r="Q182" s="1"/>
    </row>
    <row r="183">
      <c r="Q183" s="1"/>
    </row>
    <row r="184">
      <c r="Q184" s="1"/>
    </row>
    <row r="185">
      <c r="Q185" s="1"/>
    </row>
    <row r="186">
      <c r="Q186" s="1"/>
    </row>
    <row r="187">
      <c r="Q187" s="1"/>
    </row>
    <row r="188">
      <c r="Q188" s="1"/>
    </row>
    <row r="189">
      <c r="Q189" s="1"/>
    </row>
    <row r="190">
      <c r="Q190" s="1"/>
    </row>
    <row r="191">
      <c r="Q191" s="1"/>
    </row>
    <row r="192">
      <c r="Q192" s="1"/>
    </row>
    <row r="193">
      <c r="Q193" s="1"/>
    </row>
    <row r="194">
      <c r="Q194" s="1"/>
    </row>
    <row r="195">
      <c r="Q195" s="1"/>
    </row>
    <row r="196">
      <c r="Q196" s="1"/>
    </row>
    <row r="197">
      <c r="Q197" s="1"/>
    </row>
    <row r="198">
      <c r="Q198" s="1"/>
    </row>
    <row r="199">
      <c r="Q199" s="1"/>
    </row>
    <row r="200">
      <c r="Q200" s="1"/>
    </row>
  </sheetData>
  <picture r:id="rId1"/>
</worksheet>
</file>

<file path=xl/worksheets/sheet24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A1" s="1"/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  <c r="R1" s="1"/>
      <c r="S1" s="1"/>
      <c r="T1" s="1"/>
    </row>
    <row r="2">
      <c r="A2" s="1"/>
      <c r="B2" s="90" t="str">
        <v>退后销量</v>
      </c>
      <c r="C2" s="118">
        <v>344.25168667005624</v>
      </c>
      <c r="D2" s="118">
        <v>313.9878021276337</v>
      </c>
      <c r="E2" s="118">
        <v>366.94960007687314</v>
      </c>
      <c r="F2" s="118">
        <v>304.53033820812664</v>
      </c>
      <c r="G2" s="118">
        <v>531.5094722762956</v>
      </c>
      <c r="H2" s="118">
        <v>459.6327464880421</v>
      </c>
      <c r="I2" s="118">
        <v>298.85585985642246</v>
      </c>
      <c r="J2" s="118">
        <v>375.6504668828196</v>
      </c>
      <c r="K2" s="118">
        <v>414.2369196744083</v>
      </c>
      <c r="L2" s="118">
        <v>548.9112058881885</v>
      </c>
      <c r="M2" s="118">
        <v>426.7207720481576</v>
      </c>
      <c r="N2" s="118">
        <v>381.3249452345238</v>
      </c>
      <c r="O2" s="118">
        <f>SUM(C2:N2)</f>
      </c>
      <c r="P2" s="118"/>
      <c r="Q2" s="1"/>
      <c r="R2" s="1"/>
      <c r="S2" s="1"/>
      <c r="T2" s="1"/>
    </row>
    <row r="3">
      <c r="A3" s="135"/>
      <c r="B3" s="94" t="str">
        <v>自补前GMV</v>
      </c>
      <c r="C3" s="94">
        <v>178238.1173</v>
      </c>
      <c r="D3" s="94">
        <v>189377.9996</v>
      </c>
      <c r="E3" s="94">
        <v>155958.353</v>
      </c>
      <c r="F3" s="94">
        <v>144818.4703</v>
      </c>
      <c r="G3" s="94">
        <v>189377.9996</v>
      </c>
      <c r="H3" s="94">
        <v>189377.9996</v>
      </c>
      <c r="I3" s="94">
        <v>144818.4703</v>
      </c>
      <c r="J3" s="94">
        <v>256217.2936</v>
      </c>
      <c r="K3" s="94">
        <v>155958.3526</v>
      </c>
      <c r="L3" s="94">
        <v>211657.7643</v>
      </c>
      <c r="M3" s="94">
        <v>189377.9996</v>
      </c>
      <c r="N3" s="94">
        <v>222797.6466</v>
      </c>
      <c r="O3" s="94">
        <f>SUM(C3:N3)</f>
      </c>
      <c r="P3" s="94"/>
      <c r="Q3" s="146" t="str">
        <v>渠道填写</v>
      </c>
      <c r="R3" s="1"/>
      <c r="S3" s="1"/>
      <c r="T3" s="1"/>
    </row>
    <row r="4">
      <c r="A4" s="135"/>
      <c r="B4" s="94" t="str">
        <v>自补前GSV</v>
      </c>
      <c r="C4" s="94">
        <v>160414.3055</v>
      </c>
      <c r="D4" s="94">
        <v>170440.1996</v>
      </c>
      <c r="E4" s="94">
        <v>140362.5173</v>
      </c>
      <c r="F4" s="94">
        <v>130336.6233</v>
      </c>
      <c r="G4" s="94">
        <v>170440.1996</v>
      </c>
      <c r="H4" s="94">
        <v>170440.1996</v>
      </c>
      <c r="I4" s="94">
        <v>130336.6233</v>
      </c>
      <c r="J4" s="94">
        <v>230595.5642</v>
      </c>
      <c r="K4" s="94">
        <v>140362.5173</v>
      </c>
      <c r="L4" s="94">
        <v>190491.9878</v>
      </c>
      <c r="M4" s="94">
        <v>170440.1996</v>
      </c>
      <c r="N4" s="94">
        <v>200517.8819</v>
      </c>
      <c r="O4" s="94">
        <f>SUM(C4:N4)</f>
      </c>
      <c r="P4" s="94"/>
      <c r="Q4" s="146" t="str">
        <v>渠道填写</v>
      </c>
      <c r="R4" s="1"/>
      <c r="S4" s="1"/>
      <c r="T4" s="1"/>
    </row>
    <row r="5">
      <c r="A5" s="135"/>
      <c r="B5" s="94" t="str">
        <v>国补自补费用</v>
      </c>
      <c r="C5" s="94">
        <f>C3*$P$12</f>
      </c>
      <c r="D5" s="94">
        <f>D3*$P$12</f>
      </c>
      <c r="E5" s="94">
        <f>E3*$P$12</f>
      </c>
      <c r="F5" s="94">
        <f>F3*$P$12</f>
      </c>
      <c r="G5" s="94">
        <f>G3*$P$12</f>
      </c>
      <c r="H5" s="94">
        <f>H3*$P$12</f>
      </c>
      <c r="I5" s="94">
        <f>I3*$P$12</f>
      </c>
      <c r="J5" s="94">
        <f>J3*$P$12</f>
      </c>
      <c r="K5" s="94">
        <f>K3*$P$12</f>
      </c>
      <c r="L5" s="94">
        <f>L3*$P$12</f>
      </c>
      <c r="M5" s="94">
        <f>M3*$P$12</f>
      </c>
      <c r="N5" s="94">
        <f>N3*$P$12</f>
      </c>
      <c r="O5" s="94">
        <f>SUM(C5:N5)</f>
      </c>
      <c r="P5" s="94"/>
      <c r="Q5" s="126" t="str">
        <v>渠道填写</v>
      </c>
      <c r="R5" s="1"/>
      <c r="S5" s="1"/>
      <c r="T5" s="1"/>
    </row>
    <row r="6">
      <c r="A6" s="135"/>
      <c r="B6" s="98" t="str">
        <v>GMV（国补后）</v>
      </c>
      <c r="C6" s="98">
        <v>151502.4</v>
      </c>
      <c r="D6" s="98">
        <v>160971.3</v>
      </c>
      <c r="E6" s="98">
        <v>132564.6</v>
      </c>
      <c r="F6" s="98">
        <v>123095.7</v>
      </c>
      <c r="G6" s="98">
        <v>160971.3</v>
      </c>
      <c r="H6" s="98">
        <v>160971.3</v>
      </c>
      <c r="I6" s="98">
        <v>123095.7</v>
      </c>
      <c r="J6" s="98">
        <v>217784.7</v>
      </c>
      <c r="K6" s="98">
        <v>132564.6</v>
      </c>
      <c r="L6" s="98">
        <v>179909.1</v>
      </c>
      <c r="M6" s="98">
        <v>160971.3</v>
      </c>
      <c r="N6" s="98">
        <v>189378</v>
      </c>
      <c r="O6" s="98">
        <f>SUM(C6:N6)</f>
      </c>
      <c r="P6" s="98"/>
      <c r="Q6" s="126" t="str">
        <v>渠道填写</v>
      </c>
      <c r="R6" s="1"/>
      <c r="S6" s="1"/>
      <c r="T6" s="1"/>
    </row>
    <row r="7">
      <c r="A7" s="135"/>
      <c r="B7" s="102" t="str">
        <v>退货率（发货前+后）</v>
      </c>
      <c r="C7" s="102">
        <f>1-C8/C6</f>
      </c>
      <c r="D7" s="102">
        <f>1-D8/D6</f>
      </c>
      <c r="E7" s="102">
        <f>1-E8/E6</f>
      </c>
      <c r="F7" s="102">
        <f>1-F8/F6</f>
      </c>
      <c r="G7" s="102">
        <f>1-G8/G6</f>
      </c>
      <c r="H7" s="102">
        <f>1-H8/H6</f>
      </c>
      <c r="I7" s="102">
        <f>1-I8/I6</f>
      </c>
      <c r="J7" s="102">
        <f>1-J8/J6</f>
      </c>
      <c r="K7" s="102">
        <f>1-K8/K6</f>
      </c>
      <c r="L7" s="102">
        <f>1-L8/L6</f>
      </c>
      <c r="M7" s="102">
        <f>1-M8/M6</f>
      </c>
      <c r="N7" s="102">
        <f>1-N8/N6</f>
      </c>
      <c r="O7" s="102">
        <f>1-O8/O6</f>
      </c>
      <c r="P7" s="102"/>
      <c r="Q7" s="1" t="str">
        <v>渠道填写</v>
      </c>
      <c r="R7" s="1"/>
      <c r="S7" s="1"/>
      <c r="T7" s="1"/>
    </row>
    <row r="8">
      <c r="A8" s="135"/>
      <c r="B8" s="98" t="str">
        <v>GSV（国补后）</v>
      </c>
      <c r="C8" s="98">
        <v>136352.2</v>
      </c>
      <c r="D8" s="98">
        <v>144874.2</v>
      </c>
      <c r="E8" s="98">
        <v>119308.1</v>
      </c>
      <c r="F8" s="98">
        <v>110786.1</v>
      </c>
      <c r="G8" s="98">
        <v>144874.2</v>
      </c>
      <c r="H8" s="98">
        <v>144874.2</v>
      </c>
      <c r="I8" s="98">
        <v>110786.1</v>
      </c>
      <c r="J8" s="98">
        <v>196006.2</v>
      </c>
      <c r="K8" s="98">
        <v>119308.1</v>
      </c>
      <c r="L8" s="98">
        <v>161918.2</v>
      </c>
      <c r="M8" s="98">
        <v>144874.2</v>
      </c>
      <c r="N8" s="98">
        <v>170440.2</v>
      </c>
      <c r="O8" s="98">
        <f>SUM(C8:N8)</f>
      </c>
      <c r="P8" s="98"/>
      <c r="Q8" s="1" t="str">
        <v>渠道填写</v>
      </c>
      <c r="R8" s="1"/>
      <c r="S8" s="1"/>
      <c r="T8" s="1"/>
    </row>
    <row r="9">
      <c r="A9" s="1"/>
      <c r="B9" s="90"/>
      <c r="C9" s="88">
        <f>C10-C14-C15</f>
      </c>
      <c r="D9" s="88">
        <f>D10-D14-D15</f>
      </c>
      <c r="E9" s="88">
        <f>E10-E14-E15</f>
      </c>
      <c r="F9" s="88">
        <f>F10-F14-F15</f>
      </c>
      <c r="G9" s="88">
        <f>G10-G14-G15</f>
      </c>
      <c r="H9" s="88">
        <f>H10-H14-H15</f>
      </c>
      <c r="I9" s="88">
        <f>I10-I14-I15</f>
      </c>
      <c r="J9" s="88">
        <f>J10-J14-J15</f>
      </c>
      <c r="K9" s="88">
        <f>K10-K14-K15</f>
      </c>
      <c r="L9" s="88">
        <f>L10-L14-L15</f>
      </c>
      <c r="M9" s="88">
        <f>M10-M14-M15</f>
      </c>
      <c r="N9" s="88">
        <f>N10-N14-N15</f>
      </c>
      <c r="O9" s="88">
        <f>O10-O14-O15</f>
      </c>
      <c r="P9" s="118"/>
      <c r="Q9" s="1"/>
      <c r="R9" s="1"/>
      <c r="S9" s="1"/>
      <c r="T9" s="1"/>
    </row>
    <row r="10">
      <c r="A10" s="135"/>
      <c r="B10" s="98" t="str">
        <v>零售价（去除退货后的）</v>
      </c>
      <c r="C10" s="98">
        <f>C13+C4</f>
      </c>
      <c r="D10" s="98">
        <f>D13+D4</f>
      </c>
      <c r="E10" s="98">
        <f>E13+E4</f>
      </c>
      <c r="F10" s="98">
        <f>F13+F4</f>
      </c>
      <c r="G10" s="98">
        <f>G13+G4</f>
      </c>
      <c r="H10" s="98">
        <f>H13+H4</f>
      </c>
      <c r="I10" s="98">
        <f>I13+I4</f>
      </c>
      <c r="J10" s="98">
        <f>J13+J4</f>
      </c>
      <c r="K10" s="98">
        <f>K13+K4</f>
      </c>
      <c r="L10" s="98">
        <f>L13+L4</f>
      </c>
      <c r="M10" s="98">
        <f>M13+M4</f>
      </c>
      <c r="N10" s="98">
        <f>N13+N4</f>
      </c>
      <c r="O10" s="98">
        <f>SUM(C10:N10)</f>
      </c>
      <c r="P10" s="98"/>
      <c r="Q10" s="1"/>
      <c r="R10" s="1"/>
      <c r="S10" s="1"/>
      <c r="T10" s="1"/>
    </row>
    <row r="11">
      <c r="A11" s="1"/>
      <c r="B11" s="85" t="str">
        <v>合同折扣及返利 (线下）</v>
      </c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>
        <f>SUM(C11:N11)</f>
      </c>
      <c r="P11" s="127"/>
      <c r="Q11" s="1" t="str">
        <v>线下渠道填写</v>
      </c>
      <c r="R11" s="1"/>
      <c r="S11" s="1"/>
      <c r="T11" s="1"/>
    </row>
    <row r="12">
      <c r="A12" s="1"/>
      <c r="B12" s="85" t="str">
        <v>国补自补 （线上）</v>
      </c>
      <c r="C12" s="127">
        <f>C4*$P$12</f>
      </c>
      <c r="D12" s="127">
        <f>D4*$P$12</f>
      </c>
      <c r="E12" s="127">
        <f>E4*$P$12</f>
      </c>
      <c r="F12" s="127">
        <f>F4*$P$12</f>
      </c>
      <c r="G12" s="127">
        <f>G4*$P$12</f>
      </c>
      <c r="H12" s="127">
        <f>H4*$P$12</f>
      </c>
      <c r="I12" s="127">
        <f>I4*$P$12</f>
      </c>
      <c r="J12" s="127">
        <f>J4*$P$12</f>
      </c>
      <c r="K12" s="127">
        <f>K4*$P$12</f>
      </c>
      <c r="L12" s="127">
        <f>L4*$P$12</f>
      </c>
      <c r="M12" s="127">
        <f>M4*$P$12</f>
      </c>
      <c r="N12" s="127">
        <f>N4*$P$12</f>
      </c>
      <c r="O12" s="127">
        <f>SUM(C12:N12)</f>
      </c>
      <c r="P12" s="173">
        <v>0.15</v>
      </c>
      <c r="Q12" s="1" t="str">
        <v>渠道填写</v>
      </c>
      <c r="R12" s="54">
        <f>O12/$O$10</f>
      </c>
      <c r="S12" s="1"/>
      <c r="T12" s="1"/>
    </row>
    <row r="13">
      <c r="A13" s="1"/>
      <c r="B13" s="85" t="str">
        <v>红包消费券等促销折扣</v>
      </c>
      <c r="C13" s="127">
        <f>C15*$P$13</f>
      </c>
      <c r="D13" s="127">
        <f>D15*$P$13</f>
      </c>
      <c r="E13" s="127">
        <f>E15*$P$13</f>
      </c>
      <c r="F13" s="127">
        <f>F15*$P$13</f>
      </c>
      <c r="G13" s="127">
        <f>G15*$P$13</f>
      </c>
      <c r="H13" s="127">
        <f>H15*$P$13</f>
      </c>
      <c r="I13" s="127">
        <f>I15*$P$13</f>
      </c>
      <c r="J13" s="127">
        <f>J15*$P$13</f>
      </c>
      <c r="K13" s="127">
        <f>K15*$P$13</f>
      </c>
      <c r="L13" s="127">
        <f>L15*$P$13</f>
      </c>
      <c r="M13" s="127">
        <f>M15*$P$13</f>
      </c>
      <c r="N13" s="127">
        <f>N15*$P$13</f>
      </c>
      <c r="O13" s="127">
        <f>SUM(C13:N13)</f>
      </c>
      <c r="P13" s="223">
        <v>0.0019</v>
      </c>
      <c r="Q13" s="222" t="str">
        <v>按25年平台其他费用占GMV比例(年0.19%)</v>
      </c>
      <c r="R13" s="54">
        <f>O13/$O$10</f>
      </c>
      <c r="S13" s="1"/>
      <c r="T13" s="1"/>
    </row>
    <row r="14">
      <c r="A14" s="1"/>
      <c r="B14" s="83" t="str">
        <v>TTL 折扣合计</v>
      </c>
      <c r="C14" s="115">
        <f>SUM(C11:C13)</f>
      </c>
      <c r="D14" s="115">
        <f>SUM(D11:D13)</f>
      </c>
      <c r="E14" s="115">
        <f>SUM(E11:E13)</f>
      </c>
      <c r="F14" s="115">
        <f>SUM(F11:F13)</f>
      </c>
      <c r="G14" s="115">
        <f>SUM(G11:G13)</f>
      </c>
      <c r="H14" s="115">
        <f>SUM(H11:H13)</f>
      </c>
      <c r="I14" s="115">
        <f>SUM(I11:I13)</f>
      </c>
      <c r="J14" s="115">
        <f>SUM(J11:J13)</f>
      </c>
      <c r="K14" s="115">
        <f>SUM(K11:K13)</f>
      </c>
      <c r="L14" s="115">
        <f>SUM(L11:L13)</f>
      </c>
      <c r="M14" s="115">
        <f>SUM(M11:M13)</f>
      </c>
      <c r="N14" s="115">
        <f>SUM(N11:N13)</f>
      </c>
      <c r="O14" s="115">
        <f>SUM(C14:N14)</f>
      </c>
      <c r="P14" s="115"/>
      <c r="Q14" s="1"/>
      <c r="R14" s="1"/>
      <c r="S14" s="1"/>
      <c r="T14" s="1"/>
    </row>
    <row r="15">
      <c r="A15" s="135"/>
      <c r="B15" s="98" t="str">
        <v>GSV</v>
      </c>
      <c r="C15" s="98">
        <f>C8</f>
      </c>
      <c r="D15" s="98">
        <f>D8</f>
      </c>
      <c r="E15" s="98">
        <f>E8</f>
      </c>
      <c r="F15" s="98">
        <f>F8</f>
      </c>
      <c r="G15" s="98">
        <f>G8</f>
      </c>
      <c r="H15" s="98">
        <f>H8</f>
      </c>
      <c r="I15" s="98">
        <f>I8</f>
      </c>
      <c r="J15" s="98">
        <f>J8</f>
      </c>
      <c r="K15" s="98">
        <f>K8</f>
      </c>
      <c r="L15" s="98">
        <f>L8</f>
      </c>
      <c r="M15" s="98">
        <f>M8</f>
      </c>
      <c r="N15" s="98">
        <f>N8</f>
      </c>
      <c r="O15" s="98">
        <f>SUM(C15:N15)</f>
      </c>
      <c r="P15" s="98"/>
      <c r="Q15" s="1"/>
      <c r="R15" s="1"/>
      <c r="S15" s="1"/>
      <c r="T15" s="1"/>
    </row>
    <row r="16">
      <c r="A16" s="135"/>
      <c r="B16" s="98" t="str">
        <v>营业收入</v>
      </c>
      <c r="C16" s="98">
        <f>+C8/1.13</f>
      </c>
      <c r="D16" s="98">
        <f>+D8/1.13</f>
      </c>
      <c r="E16" s="98">
        <f>+E8/1.13</f>
      </c>
      <c r="F16" s="98">
        <f>+F8/1.13</f>
      </c>
      <c r="G16" s="98">
        <f>+G8/1.13</f>
      </c>
      <c r="H16" s="98">
        <f>+H8/1.13</f>
      </c>
      <c r="I16" s="98">
        <f>+I8/1.13</f>
      </c>
      <c r="J16" s="98">
        <f>+J8/1.13</f>
      </c>
      <c r="K16" s="98">
        <f>+K8/1.13</f>
      </c>
      <c r="L16" s="98">
        <f>+L8/1.13</f>
      </c>
      <c r="M16" s="98">
        <f>+M8/1.13</f>
      </c>
      <c r="N16" s="98">
        <f>+N8/1.13</f>
      </c>
      <c r="O16" s="98">
        <f>SUM(C16:N16)</f>
      </c>
      <c r="P16" s="98"/>
      <c r="Q16" s="1"/>
      <c r="R16" s="1"/>
      <c r="S16" s="1"/>
      <c r="T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>
      <c r="A18" s="1"/>
      <c r="B18" s="85" t="str">
        <v>标准主品配件成本</v>
      </c>
      <c r="C18" s="84">
        <f>C64*C65</f>
      </c>
      <c r="D18" s="84">
        <f>D64*D65</f>
      </c>
      <c r="E18" s="84">
        <f>E64*E65</f>
      </c>
      <c r="F18" s="84">
        <f>F64*F65</f>
      </c>
      <c r="G18" s="84">
        <f>G64*G65</f>
      </c>
      <c r="H18" s="84">
        <f>H64*H65</f>
      </c>
      <c r="I18" s="84">
        <f>I64*I65</f>
      </c>
      <c r="J18" s="84">
        <f>J64*J65</f>
      </c>
      <c r="K18" s="84">
        <f>K64*K65</f>
      </c>
      <c r="L18" s="84">
        <f>L64*L65</f>
      </c>
      <c r="M18" s="84">
        <f>M64*M65</f>
      </c>
      <c r="N18" s="84">
        <f>N64*N65</f>
      </c>
      <c r="O18" s="127">
        <f>SUM(C18:N18)</f>
      </c>
      <c r="P18" s="128">
        <f>O18/O16</f>
      </c>
      <c r="Q18" s="1"/>
      <c r="R18" s="1"/>
      <c r="S18" s="1"/>
      <c r="T18" s="1"/>
    </row>
    <row r="19">
      <c r="A19" s="1"/>
      <c r="B19" s="83" t="str">
        <v>产品毛利</v>
      </c>
      <c r="C19" s="115">
        <f>C16-C18</f>
      </c>
      <c r="D19" s="115">
        <f>D16-D18</f>
      </c>
      <c r="E19" s="115">
        <f>E16-E18</f>
      </c>
      <c r="F19" s="115">
        <f>F16-F18</f>
      </c>
      <c r="G19" s="115">
        <f>G16-G18</f>
      </c>
      <c r="H19" s="115">
        <f>H16-H18</f>
      </c>
      <c r="I19" s="115">
        <f>I16-I18</f>
      </c>
      <c r="J19" s="115">
        <f>J16-J18</f>
      </c>
      <c r="K19" s="115">
        <f>K16-K18</f>
      </c>
      <c r="L19" s="115">
        <f>L16-L18</f>
      </c>
      <c r="M19" s="115">
        <f>M16-M18</f>
      </c>
      <c r="N19" s="115">
        <f>N16-N18</f>
      </c>
      <c r="O19" s="115">
        <f>SUM(C19:N19)</f>
      </c>
      <c r="P19" s="116">
        <f>O19/$O$16</f>
      </c>
      <c r="Q19" s="1"/>
      <c r="R19" s="1"/>
      <c r="S19" s="1"/>
      <c r="T19" s="1"/>
    </row>
    <row r="20">
      <c r="A20" s="118"/>
      <c r="B20" s="90" t="str">
        <v>头程/尾程物流/仓储费用</v>
      </c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20"/>
      <c r="Q20" s="188" t="str">
        <v>平台费用含物流费用,故无发货费用
</v>
      </c>
      <c r="R20" s="1"/>
      <c r="S20" s="1"/>
      <c r="T20" s="1"/>
    </row>
    <row r="21">
      <c r="A21" s="1"/>
      <c r="B21" s="83" t="str">
        <v>成本合计（产品+物流）</v>
      </c>
      <c r="C21" s="115">
        <f>SUM(C18,C20)</f>
      </c>
      <c r="D21" s="115">
        <f>SUM(D18,D20)</f>
      </c>
      <c r="E21" s="115">
        <f>SUM(E18,E20)</f>
      </c>
      <c r="F21" s="115">
        <f>SUM(F18,F20)</f>
      </c>
      <c r="G21" s="115">
        <f>SUM(G18,G20)</f>
      </c>
      <c r="H21" s="115">
        <f>SUM(H18,H20)</f>
      </c>
      <c r="I21" s="115">
        <f>SUM(I18,I20)</f>
      </c>
      <c r="J21" s="115">
        <f>SUM(J18,J20)</f>
      </c>
      <c r="K21" s="115">
        <f>SUM(K18,K20)</f>
      </c>
      <c r="L21" s="115">
        <f>SUM(L18,L20)</f>
      </c>
      <c r="M21" s="115">
        <f>SUM(M18,M20)</f>
      </c>
      <c r="N21" s="115">
        <f>SUM(N18,N20)</f>
      </c>
      <c r="O21" s="115">
        <f>SUM(C21:N21)</f>
      </c>
      <c r="P21" s="116">
        <f>O21/$O$16</f>
      </c>
      <c r="Q21" s="1"/>
      <c r="R21" s="1"/>
      <c r="S21" s="1"/>
      <c r="T21" s="1"/>
    </row>
    <row r="22">
      <c r="A22" s="135"/>
      <c r="B22" s="98" t="str">
        <v>净毛利</v>
      </c>
      <c r="C22" s="98">
        <f>C16-C21</f>
      </c>
      <c r="D22" s="98">
        <f>D16-D21</f>
      </c>
      <c r="E22" s="98">
        <f>E16-E21</f>
      </c>
      <c r="F22" s="98">
        <f>F16-F21</f>
      </c>
      <c r="G22" s="98">
        <f>G16-G21</f>
      </c>
      <c r="H22" s="98">
        <f>H16-H21</f>
      </c>
      <c r="I22" s="98">
        <f>I16-I21</f>
      </c>
      <c r="J22" s="98">
        <f>J16-J21</f>
      </c>
      <c r="K22" s="98">
        <f>K16-K21</f>
      </c>
      <c r="L22" s="98">
        <f>L16-L21</f>
      </c>
      <c r="M22" s="98">
        <f>M16-M21</f>
      </c>
      <c r="N22" s="98">
        <f>N16-N21</f>
      </c>
      <c r="O22" s="98">
        <f>SUM(C22:N22)</f>
      </c>
      <c r="P22" s="162">
        <f>O22/$O$16</f>
      </c>
      <c r="Q22" s="1"/>
      <c r="R22" s="1"/>
      <c r="S22" s="1"/>
      <c r="T22" s="1"/>
    </row>
    <row r="23">
      <c r="A23" s="1"/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120"/>
      <c r="Q23" s="1"/>
      <c r="R23" s="1"/>
      <c r="S23" s="1"/>
      <c r="T23" s="1"/>
    </row>
    <row r="24">
      <c r="A24" s="1"/>
      <c r="B24" s="102" t="str">
        <v>合计毛利率</v>
      </c>
      <c r="C24" s="165">
        <f>IFERROR(1-C21/C16,0)</f>
      </c>
      <c r="D24" s="165">
        <f>IFERROR(1-D21/D16,0)</f>
      </c>
      <c r="E24" s="165">
        <f>IFERROR(1-E21/E16,0)</f>
      </c>
      <c r="F24" s="165">
        <f>IFERROR(1-F21/F16,0)</f>
      </c>
      <c r="G24" s="165">
        <f>IFERROR(1-G21/G16,0)</f>
      </c>
      <c r="H24" s="165">
        <f>IFERROR(1-H21/H16,0)</f>
      </c>
      <c r="I24" s="165">
        <f>IFERROR(1-I21/I16,0)</f>
      </c>
      <c r="J24" s="165">
        <f>IFERROR(1-J21/J16,0)</f>
      </c>
      <c r="K24" s="165">
        <f>IFERROR(1-K21/K16,0)</f>
      </c>
      <c r="L24" s="165">
        <f>IFERROR(1-L21/L16,0)</f>
      </c>
      <c r="M24" s="165">
        <f>IFERROR(1-M21/M16,0)</f>
      </c>
      <c r="N24" s="165">
        <f>IFERROR(1-N21/N16,0)</f>
      </c>
      <c r="O24" s="165">
        <f>IFERROR(1-O21/O16,0)</f>
      </c>
      <c r="P24" s="120"/>
      <c r="Q24" s="1"/>
      <c r="R24" s="1"/>
      <c r="S24" s="1"/>
      <c r="T24" s="1"/>
    </row>
    <row r="25">
      <c r="A25" s="1"/>
      <c r="B25" s="1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20"/>
      <c r="Q25" s="1"/>
      <c r="R25" s="1"/>
      <c r="S25" s="1"/>
      <c r="T25" s="1"/>
    </row>
    <row r="26">
      <c r="A26" s="1"/>
      <c r="B26" s="85" t="str">
        <v>品牌及内容费用</v>
      </c>
      <c r="C26" s="127">
        <f>SUM(C27:C31)</f>
      </c>
      <c r="D26" s="127">
        <f>SUM(D27:D31)</f>
      </c>
      <c r="E26" s="127">
        <f>SUM(E27:E31)</f>
      </c>
      <c r="F26" s="127">
        <f>SUM(F27:F31)</f>
      </c>
      <c r="G26" s="127">
        <f>SUM(G27:G31)</f>
      </c>
      <c r="H26" s="127">
        <f>SUM(H27:H31)</f>
      </c>
      <c r="I26" s="127">
        <f>SUM(I27:I31)</f>
      </c>
      <c r="J26" s="127">
        <f>SUM(J27:J31)</f>
      </c>
      <c r="K26" s="127">
        <f>SUM(K27:K31)</f>
      </c>
      <c r="L26" s="127">
        <f>SUM(L27:L31)</f>
      </c>
      <c r="M26" s="127">
        <f>SUM(M27:M31)</f>
      </c>
      <c r="N26" s="127">
        <f>SUM(N27:N31)</f>
      </c>
      <c r="O26" s="127">
        <f>SUM(C26:N26)</f>
      </c>
      <c r="P26" s="128">
        <f>O26/$O$16</f>
      </c>
      <c r="Q26" s="1"/>
      <c r="R26" s="1"/>
      <c r="S26" s="1"/>
      <c r="T26" s="1"/>
    </row>
    <row r="27">
      <c r="A27" s="118"/>
      <c r="B27" s="90" t="str">
        <v>展会</v>
      </c>
      <c r="C27" s="170">
        <v>0</v>
      </c>
      <c r="D27" s="170">
        <v>0</v>
      </c>
      <c r="E27" s="170">
        <v>254.09394018107037</v>
      </c>
      <c r="F27" s="170">
        <v>212.90597624484303</v>
      </c>
      <c r="G27" s="170">
        <v>447.5197672755804</v>
      </c>
      <c r="H27" s="170">
        <v>395.0971211194835</v>
      </c>
      <c r="I27" s="170">
        <v>255.42260324900303</v>
      </c>
      <c r="J27" s="170">
        <v>355.6472696085691</v>
      </c>
      <c r="K27" s="170">
        <v>281.21523898111036</v>
      </c>
      <c r="L27" s="170">
        <v>471.56397518884705</v>
      </c>
      <c r="M27" s="170">
        <v>356.58230443352613</v>
      </c>
      <c r="N27" s="170">
        <v>0</v>
      </c>
      <c r="O27" s="118">
        <f>SUM(C27:N27)</f>
      </c>
      <c r="P27" s="120">
        <f>O27/$O$16</f>
      </c>
      <c r="Q27" s="90"/>
      <c r="R27" s="1"/>
      <c r="S27" s="1"/>
      <c r="T27" s="1"/>
    </row>
    <row r="28">
      <c r="A28" s="118"/>
      <c r="B28" s="90" t="str">
        <v>品牌营销</v>
      </c>
      <c r="C28" s="170">
        <v>0</v>
      </c>
      <c r="D28" s="170">
        <v>0</v>
      </c>
      <c r="E28" s="170">
        <v>0</v>
      </c>
      <c r="F28" s="170">
        <v>255.48717149381162</v>
      </c>
      <c r="G28" s="170">
        <v>2685.1186036534823</v>
      </c>
      <c r="H28" s="170">
        <v>1264.3107875823473</v>
      </c>
      <c r="I28" s="170">
        <v>0</v>
      </c>
      <c r="J28" s="170">
        <v>426.77672353028294</v>
      </c>
      <c r="K28" s="170">
        <v>899.8887647395529</v>
      </c>
      <c r="L28" s="170">
        <v>565.8767702266164</v>
      </c>
      <c r="M28" s="170">
        <v>427.89876532023135</v>
      </c>
      <c r="N28" s="170">
        <v>0</v>
      </c>
      <c r="O28" s="118">
        <f>SUM(C28:N28)</f>
      </c>
      <c r="P28" s="120">
        <f>O28/$O$16</f>
      </c>
      <c r="Q28" s="90"/>
      <c r="R28" s="1"/>
      <c r="S28" s="1"/>
      <c r="T28" s="1"/>
    </row>
    <row r="29">
      <c r="A29" s="118"/>
      <c r="B29" s="90" t="str">
        <v>内容素材制作</v>
      </c>
      <c r="C29" s="170">
        <v>124.40612508078303</v>
      </c>
      <c r="D29" s="170">
        <v>101.49091726717481</v>
      </c>
      <c r="E29" s="170">
        <v>101.63757607242815</v>
      </c>
      <c r="F29" s="170">
        <v>425.81195248968606</v>
      </c>
      <c r="G29" s="170">
        <v>2685.1186036534823</v>
      </c>
      <c r="H29" s="170">
        <v>1738.4273329257276</v>
      </c>
      <c r="I29" s="170">
        <v>0</v>
      </c>
      <c r="J29" s="170">
        <v>426.77672353028294</v>
      </c>
      <c r="K29" s="170">
        <v>899.8887647395529</v>
      </c>
      <c r="L29" s="170">
        <v>943.1279503776941</v>
      </c>
      <c r="M29" s="170">
        <v>713.1646088670523</v>
      </c>
      <c r="N29" s="170">
        <v>125.94760701807323</v>
      </c>
      <c r="O29" s="118">
        <f>SUM(C29:N29)</f>
      </c>
      <c r="P29" s="120">
        <f>O29/$O$16</f>
      </c>
      <c r="Q29" s="1"/>
      <c r="R29" s="1"/>
      <c r="S29" s="1"/>
      <c r="T29" s="1"/>
    </row>
    <row r="30">
      <c r="A30" s="118"/>
      <c r="B30" s="90" t="str">
        <v>公关费用</v>
      </c>
      <c r="C30" s="170">
        <v>124.40612508078303</v>
      </c>
      <c r="D30" s="170">
        <v>101.49091726717481</v>
      </c>
      <c r="E30" s="170">
        <v>813.1006085794252</v>
      </c>
      <c r="F30" s="170">
        <v>85.16239049793721</v>
      </c>
      <c r="G30" s="170">
        <v>537.0237207306966</v>
      </c>
      <c r="H30" s="170">
        <v>158.0388484477934</v>
      </c>
      <c r="I30" s="170">
        <v>102.16904129960122</v>
      </c>
      <c r="J30" s="170">
        <v>142.25890784342766</v>
      </c>
      <c r="K30" s="170">
        <v>112.48609559244412</v>
      </c>
      <c r="L30" s="170">
        <v>377.2511801510777</v>
      </c>
      <c r="M30" s="170">
        <v>285.26584354682086</v>
      </c>
      <c r="N30" s="170">
        <v>125.94760701807323</v>
      </c>
      <c r="O30" s="118">
        <f>SUM(C30:N30)</f>
      </c>
      <c r="P30" s="120">
        <f>O30/$O$16</f>
      </c>
      <c r="Q30" s="1"/>
      <c r="R30" s="1"/>
      <c r="S30" s="1"/>
      <c r="T30" s="1"/>
    </row>
    <row r="31">
      <c r="A31" s="118"/>
      <c r="B31" s="90" t="str">
        <v>达人种草、样机及加热</v>
      </c>
      <c r="C31" s="170">
        <v>1244.0612508078304</v>
      </c>
      <c r="D31" s="170">
        <v>5074.545863358741</v>
      </c>
      <c r="E31" s="170">
        <v>8131.006085794252</v>
      </c>
      <c r="F31" s="170">
        <v>4258.119524896861</v>
      </c>
      <c r="G31" s="170">
        <v>16110.711621920897</v>
      </c>
      <c r="H31" s="170">
        <v>9482.330906867604</v>
      </c>
      <c r="I31" s="170">
        <v>2043.3808259920243</v>
      </c>
      <c r="J31" s="170">
        <v>2845.178156868553</v>
      </c>
      <c r="K31" s="170">
        <v>1124.8609559244414</v>
      </c>
      <c r="L31" s="170">
        <v>9431.27950377694</v>
      </c>
      <c r="M31" s="170">
        <v>2852.658435468209</v>
      </c>
      <c r="N31" s="170">
        <v>2518.9521403614644</v>
      </c>
      <c r="O31" s="118">
        <f>SUM(C31:N31)</f>
      </c>
      <c r="P31" s="120">
        <f>O31/$O$16</f>
      </c>
      <c r="Q31" s="1"/>
      <c r="R31" s="1"/>
      <c r="S31" s="1"/>
      <c r="T31" s="1"/>
    </row>
    <row outlineLevel="1" r="32">
      <c r="A32" s="118"/>
      <c r="B32" s="90" t="str">
        <v>展会(费率)</v>
      </c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20"/>
      <c r="Q32" s="1"/>
      <c r="R32" s="1"/>
      <c r="S32" s="1"/>
      <c r="T32" s="1"/>
    </row>
    <row outlineLevel="1" r="33">
      <c r="A33" s="118"/>
      <c r="B33" s="90" t="str">
        <v>品牌营销（费率）</v>
      </c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20"/>
      <c r="Q33" s="1"/>
      <c r="R33" s="1"/>
      <c r="S33" s="1"/>
      <c r="T33" s="1"/>
    </row>
    <row outlineLevel="1" r="34">
      <c r="A34" s="118"/>
      <c r="B34" s="90" t="str">
        <v>内容素材制作（费率）</v>
      </c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20"/>
      <c r="Q34" s="1"/>
      <c r="R34" s="1"/>
      <c r="S34" s="1"/>
      <c r="T34" s="1"/>
    </row>
    <row outlineLevel="1" r="35">
      <c r="A35" s="118"/>
      <c r="B35" s="90" t="str">
        <v>公关费用（费率）</v>
      </c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20"/>
      <c r="Q35" s="1"/>
      <c r="R35" s="1"/>
      <c r="S35" s="1"/>
      <c r="T35" s="1"/>
    </row>
    <row outlineLevel="1" r="36">
      <c r="A36" s="118"/>
      <c r="B36" s="90" t="str">
        <v>达人种草、样机及加热（费率）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18"/>
      <c r="P36" s="120"/>
      <c r="Q36" s="1"/>
      <c r="R36" s="1"/>
      <c r="S36" s="1"/>
      <c r="T36" s="1"/>
    </row>
    <row r="37">
      <c r="A37" s="1"/>
      <c r="B37" s="85" t="str">
        <v>效果广告</v>
      </c>
      <c r="C37" s="127">
        <f>SUM(C38:C40)</f>
      </c>
      <c r="D37" s="127">
        <f>SUM(D38:D40)</f>
      </c>
      <c r="E37" s="127">
        <f>SUM(E38:E40)</f>
      </c>
      <c r="F37" s="127">
        <f>SUM(F38:F40)</f>
      </c>
      <c r="G37" s="127">
        <f>SUM(G38:G40)</f>
      </c>
      <c r="H37" s="127">
        <f>SUM(H38:H40)</f>
      </c>
      <c r="I37" s="127">
        <f>SUM(I38:I40)</f>
      </c>
      <c r="J37" s="127">
        <f>SUM(J38:J40)</f>
      </c>
      <c r="K37" s="127">
        <f>SUM(K38:K40)</f>
      </c>
      <c r="L37" s="127">
        <f>SUM(L38:L40)</f>
      </c>
      <c r="M37" s="127">
        <f>SUM(M38:M40)</f>
      </c>
      <c r="N37" s="127">
        <f>SUM(N38:N40)</f>
      </c>
      <c r="O37" s="127">
        <f>SUM(C37:N37)</f>
      </c>
      <c r="P37" s="128">
        <f>O37/$O$16</f>
      </c>
      <c r="Q37" s="1"/>
      <c r="R37" s="1"/>
      <c r="S37" s="1"/>
      <c r="T37" s="1"/>
    </row>
    <row r="38">
      <c r="A38" s="118"/>
      <c r="B38" s="90" t="str">
        <v>站内投放</v>
      </c>
      <c r="C38" s="172">
        <v>5966.151947880167</v>
      </c>
      <c r="D38" s="172">
        <v>6339.036444855129</v>
      </c>
      <c r="E38" s="172">
        <v>5220.382953930245</v>
      </c>
      <c r="F38" s="172">
        <v>4847.498460674498</v>
      </c>
      <c r="G38" s="172">
        <v>6339.036444855129</v>
      </c>
      <c r="H38" s="172">
        <v>6339.036444855129</v>
      </c>
      <c r="I38" s="172">
        <v>4847.498460674498</v>
      </c>
      <c r="J38" s="172">
        <v>8576.343426704898</v>
      </c>
      <c r="K38" s="172">
        <v>5220.382953930245</v>
      </c>
      <c r="L38" s="172">
        <v>7084.805438805052</v>
      </c>
      <c r="M38" s="172">
        <v>6339.036444855129</v>
      </c>
      <c r="N38" s="172">
        <v>7457.689935780014</v>
      </c>
      <c r="O38" s="118">
        <f>SUM(C38:N38)</f>
      </c>
      <c r="P38" s="120">
        <f>O38/$O$16</f>
      </c>
      <c r="Q38" s="1" t="str">
        <v>投放填写</v>
      </c>
      <c r="R38" s="1"/>
      <c r="S38" s="1"/>
      <c r="T38" s="1"/>
    </row>
    <row r="39">
      <c r="A39" s="118"/>
      <c r="B39" s="90" t="str">
        <v>千川投放</v>
      </c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18">
        <f>SUM(C39:N39)</f>
      </c>
      <c r="P39" s="120">
        <f>O39/$O$16</f>
      </c>
      <c r="Q39" s="1" t="str">
        <v>投放填写</v>
      </c>
      <c r="R39" s="1"/>
      <c r="S39" s="1"/>
      <c r="T39" s="1"/>
    </row>
    <row r="40">
      <c r="A40" s="118"/>
      <c r="B40" s="90" t="str">
        <v>站外投放</v>
      </c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18">
        <f>SUM(C40:N40)</f>
      </c>
      <c r="P40" s="120">
        <f>O40/$O$16</f>
      </c>
      <c r="Q40" s="1" t="str">
        <v>投放填写</v>
      </c>
      <c r="R40" s="1"/>
      <c r="S40" s="1"/>
      <c r="T40" s="1"/>
    </row>
    <row outlineLevel="1" r="41">
      <c r="A41" s="118"/>
      <c r="B41" s="90" t="str">
        <v>站内投放（费率）</v>
      </c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20">
        <f>O38/$O$16</f>
      </c>
      <c r="P41" s="1"/>
      <c r="Q41" s="1" t="str">
        <v>投放填写</v>
      </c>
      <c r="R41" s="1"/>
      <c r="S41" s="1"/>
      <c r="T41" s="1"/>
    </row>
    <row outlineLevel="1" r="42">
      <c r="A42" s="118"/>
      <c r="B42" s="90" t="str">
        <v>千川投放（费率）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20">
        <f>O39/$O$16</f>
      </c>
      <c r="P42" s="1"/>
      <c r="Q42" s="1" t="str">
        <v>投放填写</v>
      </c>
      <c r="R42" s="1"/>
      <c r="S42" s="1"/>
      <c r="T42" s="1"/>
    </row>
    <row outlineLevel="1" r="43">
      <c r="A43" s="118"/>
      <c r="B43" s="90" t="str">
        <v>站外投放（费率）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20">
        <f>O40/$O$16</f>
      </c>
      <c r="P43" s="1"/>
      <c r="Q43" s="1" t="str">
        <v>投放填写</v>
      </c>
      <c r="R43" s="1"/>
      <c r="S43" s="1"/>
      <c r="T43" s="1"/>
    </row>
    <row r="44">
      <c r="A44" s="1"/>
      <c r="B44" s="85" t="str">
        <v>线上营销费用</v>
      </c>
      <c r="C44" s="127">
        <f>SUM(C45:C46)</f>
      </c>
      <c r="D44" s="127">
        <f>SUM(D45:D46)</f>
      </c>
      <c r="E44" s="127">
        <f>SUM(E45:E46)</f>
      </c>
      <c r="F44" s="127">
        <f>SUM(F45:F46)</f>
      </c>
      <c r="G44" s="127">
        <f>SUM(G45:G46)</f>
      </c>
      <c r="H44" s="127">
        <f>SUM(H45:H46)</f>
      </c>
      <c r="I44" s="127">
        <f>SUM(I45:I46)</f>
      </c>
      <c r="J44" s="127">
        <f>SUM(J45:J46)</f>
      </c>
      <c r="K44" s="127">
        <f>SUM(K45:K46)</f>
      </c>
      <c r="L44" s="127">
        <f>SUM(L45:L46)</f>
      </c>
      <c r="M44" s="127">
        <f>SUM(M45:M46)</f>
      </c>
      <c r="N44" s="127">
        <f>SUM(N45:N46)</f>
      </c>
      <c r="O44" s="127">
        <f>SUM(C44:N44)</f>
      </c>
      <c r="P44" s="128">
        <f>O44/$O$16</f>
      </c>
      <c r="Q44" s="222" t="str">
        <v>平台无直播项目,故不涉及费用及分摊部分</v>
      </c>
      <c r="R44" s="1"/>
      <c r="S44" s="1"/>
      <c r="T44" s="1"/>
    </row>
    <row r="45">
      <c r="A45" s="118"/>
      <c r="B45" s="90" t="str">
        <v>直播费用</v>
      </c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18"/>
      <c r="P45" s="120"/>
      <c r="Q45" s="222"/>
      <c r="R45" s="1"/>
      <c r="S45" s="1"/>
      <c r="T45" s="1"/>
    </row>
    <row r="46">
      <c r="A46" s="118"/>
      <c r="B46" s="90" t="str">
        <v>赠品费用</v>
      </c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18"/>
      <c r="P46" s="120"/>
      <c r="Q46" s="222"/>
      <c r="R46" s="1"/>
      <c r="S46" s="1"/>
      <c r="T46" s="1"/>
    </row>
    <row r="47">
      <c r="A47" s="1"/>
      <c r="B47" s="85" t="str">
        <v>线下市场费用</v>
      </c>
      <c r="C47" s="127">
        <f>SUM(C48:C51)</f>
      </c>
      <c r="D47" s="127">
        <f>SUM(D48:D51)</f>
      </c>
      <c r="E47" s="127">
        <f>SUM(E48:E51)</f>
      </c>
      <c r="F47" s="127">
        <f>SUM(F48:F51)</f>
      </c>
      <c r="G47" s="127">
        <f>SUM(G48:G51)</f>
      </c>
      <c r="H47" s="127">
        <f>SUM(H48:H51)</f>
      </c>
      <c r="I47" s="127">
        <f>SUM(I48:I51)</f>
      </c>
      <c r="J47" s="127">
        <f>SUM(J48:J51)</f>
      </c>
      <c r="K47" s="127">
        <f>SUM(K48:K51)</f>
      </c>
      <c r="L47" s="127">
        <f>SUM(L48:L51)</f>
      </c>
      <c r="M47" s="127">
        <f>SUM(M48:M51)</f>
      </c>
      <c r="N47" s="127">
        <f>SUM(N48:N51)</f>
      </c>
      <c r="O47" s="127">
        <f>SUM(C47:N47)</f>
      </c>
      <c r="P47" s="128">
        <f>O47/$O$16</f>
      </c>
      <c r="Q47" s="1"/>
      <c r="R47" s="1"/>
      <c r="S47" s="1"/>
      <c r="T47" s="1"/>
    </row>
    <row r="48">
      <c r="A48" s="118"/>
      <c r="B48" s="90" t="str">
        <v>线下渠道展陈、促销费用</v>
      </c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18">
        <f>SUM(C48:N48)</f>
      </c>
      <c r="P48" s="120">
        <f>O48/$O$16</f>
      </c>
      <c r="Q48" s="90" t="str">
        <v>线下门店</v>
      </c>
      <c r="R48" s="1"/>
      <c r="S48" s="1"/>
      <c r="T48" s="1"/>
    </row>
    <row r="49">
      <c r="A49" s="118"/>
      <c r="B49" s="90" t="str">
        <v>租金+物业+水电</v>
      </c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18">
        <f>SUM(C49:N49)</f>
      </c>
      <c r="P49" s="120">
        <f>O49/$O$16</f>
      </c>
      <c r="Q49" s="90" t="str">
        <v>线下门店</v>
      </c>
      <c r="R49" s="1"/>
      <c r="S49" s="1"/>
      <c r="T49" s="1"/>
    </row>
    <row r="50">
      <c r="A50" s="118"/>
      <c r="B50" s="90" t="str">
        <v>门店人工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18">
        <f>SUM(C50:N50)</f>
      </c>
      <c r="P50" s="120">
        <f>O50/$O$16</f>
      </c>
      <c r="Q50" s="90" t="str">
        <v>线下门店</v>
      </c>
      <c r="R50" s="1"/>
      <c r="S50" s="1"/>
      <c r="T50" s="1"/>
    </row>
    <row r="51">
      <c r="A51" s="1"/>
      <c r="B51" s="90" t="str">
        <v>门店展陈装修等其他</v>
      </c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18">
        <f>SUM(C51:N51)</f>
      </c>
      <c r="P51" s="120">
        <f>O51/$O$16</f>
      </c>
      <c r="Q51" s="90" t="str">
        <v>线下门店</v>
      </c>
      <c r="R51" s="1"/>
      <c r="S51" s="1"/>
      <c r="T51" s="1"/>
    </row>
    <row r="52">
      <c r="A52" s="1"/>
      <c r="B52" s="83" t="str">
        <v>市场投入费用</v>
      </c>
      <c r="C52" s="115">
        <f>SUM(C26,C37,C44,C47)</f>
      </c>
      <c r="D52" s="115">
        <f>SUM(D26,D37,D44,D47)</f>
      </c>
      <c r="E52" s="115">
        <f>SUM(E26,E37,E44,E47)</f>
      </c>
      <c r="F52" s="115">
        <f>SUM(F26,F37,F44,F47)</f>
      </c>
      <c r="G52" s="115">
        <f>SUM(G26,G37,G44,G47)</f>
      </c>
      <c r="H52" s="115">
        <f>SUM(H26,H37,H44,H47)</f>
      </c>
      <c r="I52" s="115">
        <f>SUM(I26,I37,I44,I47)</f>
      </c>
      <c r="J52" s="115">
        <f>SUM(J26,J37,J44,J47)</f>
      </c>
      <c r="K52" s="115">
        <f>SUM(K26,K37,K44,K47)</f>
      </c>
      <c r="L52" s="115">
        <f>SUM(L26,L37,L44,L47)</f>
      </c>
      <c r="M52" s="115">
        <f>SUM(M26,M37,M44,M47)</f>
      </c>
      <c r="N52" s="115">
        <f>SUM(N26,N37,N44,N47)</f>
      </c>
      <c r="O52" s="115">
        <f>SUM(C52:N52)</f>
      </c>
      <c r="P52" s="116">
        <f>O52/$O$16</f>
      </c>
      <c r="Q52" s="1"/>
      <c r="R52" s="1"/>
      <c r="S52" s="1"/>
      <c r="T52" s="1"/>
    </row>
    <row r="53">
      <c r="A53" s="118"/>
      <c r="B53" s="90" t="str">
        <v>平台佣金</v>
      </c>
      <c r="C53" s="170">
        <f>C16*$P$53</f>
      </c>
      <c r="D53" s="170">
        <f>D16*$P$53</f>
      </c>
      <c r="E53" s="170">
        <f>E16*$P$53</f>
      </c>
      <c r="F53" s="170">
        <f>F16*$P$53</f>
      </c>
      <c r="G53" s="170">
        <f>G16*$P$53</f>
      </c>
      <c r="H53" s="170">
        <f>H16*$P$53</f>
      </c>
      <c r="I53" s="170">
        <f>I16*$P$53</f>
      </c>
      <c r="J53" s="170">
        <f>J16*$P$53</f>
      </c>
      <c r="K53" s="170">
        <f>K16*$P$53</f>
      </c>
      <c r="L53" s="170">
        <f>L16*$P$53</f>
      </c>
      <c r="M53" s="170">
        <f>M16*$P$53</f>
      </c>
      <c r="N53" s="170">
        <f>N16*$P$53</f>
      </c>
      <c r="O53" s="118">
        <f>SUM(C53:N53)</f>
      </c>
      <c r="P53" s="165">
        <v>0.16</v>
      </c>
      <c r="Q53" s="188" t="str">
        <v>平台佣金16%(含物流费用)</v>
      </c>
      <c r="R53" s="1"/>
      <c r="S53" s="1"/>
      <c r="T53" s="1"/>
    </row>
    <row r="54">
      <c r="A54" s="118"/>
      <c r="B54" s="90" t="str">
        <v>平台其他费用</v>
      </c>
      <c r="C54" s="170">
        <f>C16*$P$54</f>
      </c>
      <c r="D54" s="170">
        <f>D16*$P$54</f>
      </c>
      <c r="E54" s="170">
        <f>E16*$P$54</f>
      </c>
      <c r="F54" s="170">
        <f>F16*$P$54</f>
      </c>
      <c r="G54" s="170">
        <f>G16*$P$54</f>
      </c>
      <c r="H54" s="170">
        <f>H16*$P$54</f>
      </c>
      <c r="I54" s="170">
        <f>I16*$P$54</f>
      </c>
      <c r="J54" s="170">
        <f>J16*$P$54</f>
      </c>
      <c r="K54" s="170">
        <f>K16*$P$54</f>
      </c>
      <c r="L54" s="170">
        <f>L16*$P$54</f>
      </c>
      <c r="M54" s="170">
        <f>M16*$P$54</f>
      </c>
      <c r="N54" s="170">
        <f>N16*$P$54</f>
      </c>
      <c r="O54" s="118">
        <f>SUM(C54:N54)</f>
      </c>
      <c r="P54" s="165">
        <v>0.0107</v>
      </c>
      <c r="Q54" s="222" t="str">
        <v>按25年平台其他费用占GMV比例(年1.07%)</v>
      </c>
      <c r="R54" s="1"/>
      <c r="S54" s="1"/>
      <c r="T54" s="1"/>
    </row>
    <row r="55">
      <c r="A55" s="118"/>
      <c r="B55" s="90" t="str">
        <v>售后费用</v>
      </c>
      <c r="C55" s="170">
        <v>7993.126651433189</v>
      </c>
      <c r="D55" s="170">
        <v>5226.795683949774</v>
      </c>
      <c r="E55" s="170">
        <v>4076.859931004124</v>
      </c>
      <c r="F55" s="170">
        <v>6274.056034939451</v>
      </c>
      <c r="G55" s="170">
        <v>5388.141663378285</v>
      </c>
      <c r="H55" s="170">
        <v>3774.76508977044</v>
      </c>
      <c r="I55" s="170">
        <v>5259.293358422152</v>
      </c>
      <c r="J55" s="170">
        <v>4068.866963228529</v>
      </c>
      <c r="K55" s="170">
        <v>5606.641334298259</v>
      </c>
      <c r="L55" s="170">
        <v>4425.471348071452</v>
      </c>
      <c r="M55" s="170">
        <v>3876.1959643254795</v>
      </c>
      <c r="N55" s="170">
        <v>3781.914502499202</v>
      </c>
      <c r="O55" s="118">
        <f>SUM(C55:N55)</f>
      </c>
      <c r="P55" s="165">
        <v>0.032</v>
      </c>
      <c r="Q55" s="222" t="str">
        <v>按25年维修成本成本占GMV比例(年3.2%)</v>
      </c>
      <c r="R55" s="1"/>
      <c r="S55" s="1"/>
      <c r="T55" s="1"/>
    </row>
    <row r="56">
      <c r="A56" s="118"/>
      <c r="B56" s="90" t="str">
        <v>短信及店铺软件</v>
      </c>
      <c r="C56" s="170">
        <f>C16*$P$56</f>
      </c>
      <c r="D56" s="170">
        <f>D16*$P$56</f>
      </c>
      <c r="E56" s="170">
        <f>E16*$P$56</f>
      </c>
      <c r="F56" s="170">
        <f>F16*$P$56</f>
      </c>
      <c r="G56" s="170">
        <f>G16*$P$56</f>
      </c>
      <c r="H56" s="170">
        <f>H16*$P$56</f>
      </c>
      <c r="I56" s="170">
        <f>I16*$P$56</f>
      </c>
      <c r="J56" s="170">
        <f>J16*$P$56</f>
      </c>
      <c r="K56" s="170">
        <f>K16*$P$56</f>
      </c>
      <c r="L56" s="170">
        <f>L16*$P$56</f>
      </c>
      <c r="M56" s="170">
        <f>M16*$P$56</f>
      </c>
      <c r="N56" s="170">
        <f>N16*$P$56</f>
      </c>
      <c r="O56" s="118">
        <f>SUM(C56:N56)</f>
      </c>
      <c r="P56" s="165">
        <v>0.0007</v>
      </c>
      <c r="Q56" s="222" t="str">
        <v>按25年短信及店铺软件占GMV比例(年0.07%)</v>
      </c>
      <c r="R56" s="1"/>
      <c r="S56" s="1"/>
      <c r="T56" s="1"/>
    </row>
    <row r="57">
      <c r="A57" s="118"/>
      <c r="B57" s="90" t="str">
        <v>其他运营费用（咨询调研等）</v>
      </c>
      <c r="C57" s="170">
        <v>945.7463919507039</v>
      </c>
      <c r="D57" s="170"/>
      <c r="E57" s="170"/>
      <c r="F57" s="170"/>
      <c r="G57" s="170">
        <v>378.29855678028156</v>
      </c>
      <c r="H57" s="170"/>
      <c r="I57" s="170"/>
      <c r="J57" s="170"/>
      <c r="K57" s="170"/>
      <c r="L57" s="170">
        <v>378.29855678028156</v>
      </c>
      <c r="M57" s="170"/>
      <c r="N57" s="170">
        <v>1134.8956703408446</v>
      </c>
      <c r="O57" s="118">
        <f>SUM(C57:N57)</f>
      </c>
      <c r="P57" s="120">
        <f>O57/$O$16</f>
      </c>
      <c r="Q57" s="90"/>
      <c r="R57" s="1"/>
      <c r="S57" s="1"/>
      <c r="T57" s="1"/>
    </row>
    <row r="58">
      <c r="A58" s="1"/>
      <c r="B58" s="83" t="str">
        <v>店铺运营费用</v>
      </c>
      <c r="C58" s="115">
        <f>SUM(C53:C57)</f>
      </c>
      <c r="D58" s="115">
        <f>SUM(D53:D57)</f>
      </c>
      <c r="E58" s="115">
        <f>SUM(E53:E57)</f>
      </c>
      <c r="F58" s="115">
        <f>SUM(F53:F57)</f>
      </c>
      <c r="G58" s="115">
        <f>SUM(G53:G57)</f>
      </c>
      <c r="H58" s="115">
        <f>SUM(H53:H57)</f>
      </c>
      <c r="I58" s="115">
        <f>SUM(I53:I57)</f>
      </c>
      <c r="J58" s="115">
        <f>SUM(J53:J57)</f>
      </c>
      <c r="K58" s="115">
        <f>SUM(K53:K57)</f>
      </c>
      <c r="L58" s="115">
        <f>SUM(L53:L57)</f>
      </c>
      <c r="M58" s="115">
        <f>SUM(M53:M57)</f>
      </c>
      <c r="N58" s="115">
        <f>SUM(N53:N57)</f>
      </c>
      <c r="O58" s="115">
        <f>SUM(C58:N58)</f>
      </c>
      <c r="P58" s="116">
        <f>O58/$O$16</f>
      </c>
      <c r="Q58" s="1"/>
      <c r="R58" s="1"/>
      <c r="S58" s="1"/>
      <c r="T58" s="1"/>
    </row>
    <row r="59">
      <c r="A59" s="135"/>
      <c r="B59" s="98" t="str">
        <v>A&amp;P 合计数</v>
      </c>
      <c r="C59" s="98">
        <f>SUM(C52,C58)</f>
      </c>
      <c r="D59" s="98">
        <f>SUM(D52,D58)</f>
      </c>
      <c r="E59" s="98">
        <f>SUM(E52,E58)</f>
      </c>
      <c r="F59" s="98">
        <f>SUM(F52,F58)</f>
      </c>
      <c r="G59" s="98">
        <f>SUM(G52,G58)</f>
      </c>
      <c r="H59" s="98">
        <f>SUM(H52,H58)</f>
      </c>
      <c r="I59" s="98">
        <f>SUM(I52,I58)</f>
      </c>
      <c r="J59" s="98">
        <f>SUM(J52,J58)</f>
      </c>
      <c r="K59" s="98">
        <f>SUM(K52,K58)</f>
      </c>
      <c r="L59" s="98">
        <f>SUM(L52,L58)</f>
      </c>
      <c r="M59" s="98">
        <f>SUM(M52,M58)</f>
      </c>
      <c r="N59" s="98">
        <f>SUM(N52,N58)</f>
      </c>
      <c r="O59" s="98">
        <f>SUM(C59:N59)</f>
      </c>
      <c r="P59" s="162">
        <f>O59/$O$16</f>
      </c>
      <c r="Q59" s="135"/>
      <c r="R59" s="175"/>
      <c r="S59" s="1"/>
      <c r="T59" s="1"/>
    </row>
    <row r="60">
      <c r="A60" s="135"/>
      <c r="B60" s="98" t="str">
        <v>店铺利润</v>
      </c>
      <c r="C60" s="98">
        <f>C22-C59</f>
      </c>
      <c r="D60" s="98">
        <f>D22-D59</f>
      </c>
      <c r="E60" s="98">
        <f>E22-E59</f>
      </c>
      <c r="F60" s="98">
        <f>F22-F59</f>
      </c>
      <c r="G60" s="98">
        <f>G22-G59</f>
      </c>
      <c r="H60" s="98">
        <f>H22-H59</f>
      </c>
      <c r="I60" s="98">
        <f>I22-I59</f>
      </c>
      <c r="J60" s="98">
        <f>J22-J59</f>
      </c>
      <c r="K60" s="98">
        <f>K22-K59</f>
      </c>
      <c r="L60" s="98">
        <f>L22-L59</f>
      </c>
      <c r="M60" s="98">
        <f>M22-M59</f>
      </c>
      <c r="N60" s="98">
        <f>N22-N59</f>
      </c>
      <c r="O60" s="98">
        <f>SUM(C60:N60)</f>
      </c>
      <c r="P60" s="162">
        <f>O60/$O$16</f>
      </c>
      <c r="Q60" s="135"/>
      <c r="R60" s="182"/>
      <c r="S60" s="1"/>
      <c r="T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>
      <c r="A62" s="1"/>
      <c r="B62" s="179" t="str">
        <v>辅助计算</v>
      </c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58"/>
      <c r="P62" s="1"/>
      <c r="Q62" s="1"/>
      <c r="R62" s="1"/>
      <c r="S62" s="1"/>
      <c r="T62" s="1"/>
    </row>
    <row r="63">
      <c r="A63" s="1"/>
      <c r="B63" s="181" t="str">
        <v>国补后价格(销量加权)</v>
      </c>
      <c r="C63" s="181">
        <v>366.6</v>
      </c>
      <c r="D63" s="181">
        <v>362.6</v>
      </c>
      <c r="E63" s="181">
        <v>362.8</v>
      </c>
      <c r="F63" s="181">
        <v>357</v>
      </c>
      <c r="G63" s="181">
        <v>376.4</v>
      </c>
      <c r="H63" s="181">
        <v>376.1</v>
      </c>
      <c r="I63" s="181">
        <v>401.9</v>
      </c>
      <c r="J63" s="181">
        <v>400.9</v>
      </c>
      <c r="K63" s="181">
        <v>401.8</v>
      </c>
      <c r="L63" s="181">
        <v>398.6</v>
      </c>
      <c r="M63" s="181">
        <v>397.7</v>
      </c>
      <c r="N63" s="181">
        <v>392.4</v>
      </c>
      <c r="O63" s="1"/>
      <c r="P63" s="1"/>
      <c r="Q63" s="1"/>
      <c r="R63" s="1"/>
      <c r="S63" s="1"/>
      <c r="T63" s="1"/>
    </row>
    <row r="64">
      <c r="A64" s="1"/>
      <c r="B64" s="181" t="str">
        <v>成本不含税（销量加权）</v>
      </c>
      <c r="C64" s="181">
        <v>158.8</v>
      </c>
      <c r="D64" s="181">
        <v>156.4</v>
      </c>
      <c r="E64" s="181">
        <v>165.1</v>
      </c>
      <c r="F64" s="181">
        <v>162.9</v>
      </c>
      <c r="G64" s="181">
        <v>153</v>
      </c>
      <c r="H64" s="181">
        <v>155.3</v>
      </c>
      <c r="I64" s="181">
        <v>153.3</v>
      </c>
      <c r="J64" s="181">
        <v>152.5</v>
      </c>
      <c r="K64" s="181">
        <v>150.2</v>
      </c>
      <c r="L64" s="181">
        <v>146.6</v>
      </c>
      <c r="M64" s="181">
        <v>142.9</v>
      </c>
      <c r="N64" s="181">
        <v>139.6</v>
      </c>
      <c r="O64" s="1"/>
      <c r="P64" s="1"/>
      <c r="Q64" s="1"/>
      <c r="R64" s="1"/>
      <c r="S64" s="1"/>
      <c r="T64" s="1"/>
    </row>
    <row r="65">
      <c r="A65" s="1"/>
      <c r="B65" s="179" t="str">
        <v>退后销量</v>
      </c>
      <c r="C65" s="178">
        <f>C8/C63</f>
      </c>
      <c r="D65" s="178">
        <f>D8/D63</f>
      </c>
      <c r="E65" s="178">
        <f>E8/E63</f>
      </c>
      <c r="F65" s="178">
        <f>F8/F63</f>
      </c>
      <c r="G65" s="178">
        <f>G8/G63</f>
      </c>
      <c r="H65" s="178">
        <f>H8/H63</f>
      </c>
      <c r="I65" s="178">
        <f>I8/I63</f>
      </c>
      <c r="J65" s="178">
        <f>J8/J63</f>
      </c>
      <c r="K65" s="178">
        <f>K8/K63</f>
      </c>
      <c r="L65" s="178">
        <f>L8/L63</f>
      </c>
      <c r="M65" s="178">
        <f>M8/M63</f>
      </c>
      <c r="N65" s="178">
        <f>N8/N63</f>
      </c>
      <c r="O65" s="1"/>
      <c r="P65" s="1"/>
      <c r="Q65" s="1"/>
      <c r="R65" s="1"/>
      <c r="S65" s="1"/>
      <c r="T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>
      <c r="A81" s="1"/>
      <c r="B81" s="1"/>
      <c r="C81" s="158">
        <f>C16-C18-C20-C26-C37-C44-C47-C58-C60</f>
      </c>
      <c r="D81" s="158">
        <f>D16-D18-D20-D26-D37-D44-D47-D58-D60</f>
      </c>
      <c r="E81" s="158">
        <f>E16-E18-E20-E26-E37-E44-E47-E58-E60</f>
      </c>
      <c r="F81" s="158">
        <f>F16-F18-F20-F26-F37-F44-F47-F58-F60</f>
      </c>
      <c r="G81" s="158">
        <f>G16-G18-G20-G26-G37-G44-G47-G58-G60</f>
      </c>
      <c r="H81" s="158">
        <f>H16-H18-H20-H26-H37-H44-H47-H58-H60</f>
      </c>
      <c r="I81" s="158">
        <f>I16-I18-I20-I26-I37-I44-I47-I58-I60</f>
      </c>
      <c r="J81" s="158">
        <f>J16-J18-J20-J26-J37-J44-J47-J58-J60</f>
      </c>
      <c r="K81" s="158">
        <f>K16-K18-K20-K26-K37-K44-K47-K58-K60</f>
      </c>
      <c r="L81" s="158">
        <f>L16-L18-L20-L26-L37-L44-L47-L58-L60</f>
      </c>
      <c r="M81" s="158">
        <f>M16-M18-M20-M26-M37-M44-M47-M58-M60</f>
      </c>
      <c r="N81" s="158">
        <f>N16-N18-N20-N26-N37-N44-N47-N58-N60</f>
      </c>
      <c r="O81" s="158">
        <f>O16-O18-O20-O26-O37-O44-O47-O58-O60</f>
      </c>
      <c r="P81" s="1"/>
      <c r="Q81" s="1"/>
      <c r="R81" s="1"/>
      <c r="S81" s="1"/>
      <c r="T81" s="1"/>
    </row>
    <row r="82">
      <c r="A82" s="1"/>
      <c r="B82" s="1"/>
      <c r="C82" s="119">
        <f>C10-C11-C12-C13-C15</f>
      </c>
      <c r="D82" s="119">
        <f>D10-D11-D12-D13-D15</f>
      </c>
      <c r="E82" s="119">
        <f>E10-E11-E12-E13-E15</f>
      </c>
      <c r="F82" s="119">
        <f>F10-F11-F12-F13-F15</f>
      </c>
      <c r="G82" s="119">
        <f>G10-G11-G12-G13-G15</f>
      </c>
      <c r="H82" s="119">
        <f>H10-H11-H12-H13-H15</f>
      </c>
      <c r="I82" s="119">
        <f>I10-I11-I12-I13-I15</f>
      </c>
      <c r="J82" s="119">
        <f>J10-J11-J12-J13-J15</f>
      </c>
      <c r="K82" s="119">
        <f>K10-K11-K12-K13-K15</f>
      </c>
      <c r="L82" s="119">
        <f>L10-L11-L12-L13-L15</f>
      </c>
      <c r="M82" s="119">
        <f>M10-M11-M12-M13-M15</f>
      </c>
      <c r="N82" s="119">
        <f>N10-N11-N12-N13-N15</f>
      </c>
      <c r="O82" s="119">
        <f>O10-O11-O12-O13-O15</f>
      </c>
      <c r="P82" s="1"/>
      <c r="Q82" s="1"/>
      <c r="R82" s="1"/>
      <c r="S82" s="1"/>
      <c r="T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>
      <c r="A93" s="1"/>
      <c r="B93" s="1" t="str">
        <v>分摊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>
      <c r="A94" s="1"/>
      <c r="B94" s="85" t="str">
        <v>品牌及内容费用</v>
      </c>
      <c r="C94" s="127">
        <f>SUM(C95:C99)</f>
      </c>
      <c r="D94" s="127">
        <f>SUM(D95:D99)</f>
      </c>
      <c r="E94" s="127">
        <f>SUM(E95:E99)</f>
      </c>
      <c r="F94" s="127">
        <f>SUM(F95:F99)</f>
      </c>
      <c r="G94" s="127">
        <f>SUM(G95:G99)</f>
      </c>
      <c r="H94" s="127">
        <f>SUM(H95:H99)</f>
      </c>
      <c r="I94" s="127">
        <f>SUM(I95:I99)</f>
      </c>
      <c r="J94" s="127">
        <f>SUM(J95:J99)</f>
      </c>
      <c r="K94" s="127">
        <f>SUM(K95:K99)</f>
      </c>
      <c r="L94" s="127">
        <f>SUM(L95:L99)</f>
      </c>
      <c r="M94" s="127">
        <f>SUM(M95:M99)</f>
      </c>
      <c r="N94" s="127">
        <f>SUM(N95:N99)</f>
      </c>
      <c r="O94" s="1"/>
      <c r="P94" s="1"/>
      <c r="Q94" s="1"/>
      <c r="R94" s="1"/>
      <c r="S94" s="1"/>
      <c r="T94" s="1"/>
    </row>
    <row r="95">
      <c r="A95" s="1"/>
      <c r="B95" s="90" t="str">
        <v>展会</v>
      </c>
      <c r="C95" s="170">
        <f>'线下门店-小计'!C27*(C15/('26年全渠道汇总'!C15-'线下门店-小计'!C15))</f>
      </c>
      <c r="D95" s="170">
        <f>'线下门店-小计'!D27*(D15/('26年全渠道汇总'!D15-'线下门店-小计'!D15))</f>
      </c>
      <c r="E95" s="170">
        <f>'线下门店-小计'!E27*(E15/('26年全渠道汇总'!E15-'线下门店-小计'!E15))</f>
      </c>
      <c r="F95" s="170">
        <f>'线下门店-小计'!F27*(F15/('26年全渠道汇总'!F15-'线下门店-小计'!F15))</f>
      </c>
      <c r="G95" s="170">
        <f>'线下门店-小计'!G27*(G15/('26年全渠道汇总'!G15-'线下门店-小计'!G15))</f>
      </c>
      <c r="H95" s="170">
        <f>'线下门店-小计'!H27*(H15/('26年全渠道汇总'!H15-'线下门店-小计'!H15))</f>
      </c>
      <c r="I95" s="170">
        <f>'线下门店-小计'!I27*(I15/('26年全渠道汇总'!I15-'线下门店-小计'!I15))</f>
      </c>
      <c r="J95" s="170">
        <f>'线下门店-小计'!J27*(J15/('26年全渠道汇总'!J15-'线下门店-小计'!J15))</f>
      </c>
      <c r="K95" s="170">
        <f>'线下门店-小计'!K27*(K15/('26年全渠道汇总'!K15-'线下门店-小计'!K15))</f>
      </c>
      <c r="L95" s="170">
        <f>'线下门店-小计'!L27*(L15/('26年全渠道汇总'!L15-'线下门店-小计'!L15))</f>
      </c>
      <c r="M95" s="170">
        <f>'线下门店-小计'!M27*(M15/('26年全渠道汇总'!M15-'线下门店-小计'!M15))</f>
      </c>
      <c r="N95" s="170">
        <f>'线下门店-小计'!N27*(N15/('26年全渠道汇总'!N15-'线下门店-小计'!N15))</f>
      </c>
      <c r="O95" s="1"/>
      <c r="P95" s="1"/>
      <c r="Q95" s="1"/>
      <c r="R95" s="1"/>
      <c r="S95" s="1"/>
      <c r="T95" s="1"/>
    </row>
    <row r="96">
      <c r="A96" s="1"/>
      <c r="B96" s="90" t="str">
        <v>品牌营销</v>
      </c>
      <c r="C96" s="170">
        <f>'线下门店-小计'!C28*(C15/('26年全渠道汇总'!C15-'线下门店-小计'!C15))</f>
      </c>
      <c r="D96" s="170">
        <f>'线下门店-小计'!D28*(D15/('26年全渠道汇总'!D15-'线下门店-小计'!D15))</f>
      </c>
      <c r="E96" s="170">
        <f>'线下门店-小计'!E28*(E15/('26年全渠道汇总'!E15-'线下门店-小计'!E15))</f>
      </c>
      <c r="F96" s="170">
        <f>'线下门店-小计'!F28*(F15/('26年全渠道汇总'!F15-'线下门店-小计'!F15))</f>
      </c>
      <c r="G96" s="170">
        <f>'线下门店-小计'!G28*(G15/('26年全渠道汇总'!G15-'线下门店-小计'!G15))</f>
      </c>
      <c r="H96" s="170">
        <f>'线下门店-小计'!H28*(H15/('26年全渠道汇总'!H15-'线下门店-小计'!H15))</f>
      </c>
      <c r="I96" s="170">
        <f>'线下门店-小计'!I28*(I15/('26年全渠道汇总'!I15-'线下门店-小计'!I15))</f>
      </c>
      <c r="J96" s="170">
        <f>'线下门店-小计'!J28*(J15/('26年全渠道汇总'!J15-'线下门店-小计'!J15))</f>
      </c>
      <c r="K96" s="170">
        <f>'线下门店-小计'!K28*(K15/('26年全渠道汇总'!K15-'线下门店-小计'!K15))</f>
      </c>
      <c r="L96" s="170">
        <f>'线下门店-小计'!L28*(L15/('26年全渠道汇总'!L15-'线下门店-小计'!L15))</f>
      </c>
      <c r="M96" s="170">
        <f>'线下门店-小计'!M28*(M15/('26年全渠道汇总'!M15-'线下门店-小计'!M15))</f>
      </c>
      <c r="N96" s="170">
        <f>'线下门店-小计'!N28*(N15/('26年全渠道汇总'!N15-'线下门店-小计'!N15))</f>
      </c>
      <c r="O96" s="1"/>
      <c r="P96" s="1"/>
      <c r="Q96" s="1"/>
      <c r="R96" s="1"/>
      <c r="S96" s="1"/>
      <c r="T96" s="1"/>
    </row>
    <row r="97">
      <c r="A97" s="1"/>
      <c r="B97" s="90" t="str">
        <v>内容素材制作</v>
      </c>
      <c r="C97" s="170">
        <f>'线下门店-小计'!C29*(C15/('26年全渠道汇总'!C15-'线下门店-小计'!C15))</f>
      </c>
      <c r="D97" s="170">
        <f>'线下门店-小计'!D29*(D15/('26年全渠道汇总'!D15-'线下门店-小计'!D15))</f>
      </c>
      <c r="E97" s="170">
        <f>'线下门店-小计'!E29*(E15/('26年全渠道汇总'!E15-'线下门店-小计'!E15))</f>
      </c>
      <c r="F97" s="170">
        <f>'线下门店-小计'!F29*(F15/('26年全渠道汇总'!F15-'线下门店-小计'!F15))</f>
      </c>
      <c r="G97" s="170">
        <f>'线下门店-小计'!G29*(G15/('26年全渠道汇总'!G15-'线下门店-小计'!G15))</f>
      </c>
      <c r="H97" s="170">
        <f>'线下门店-小计'!H29*(H15/('26年全渠道汇总'!H15-'线下门店-小计'!H15))</f>
      </c>
      <c r="I97" s="170">
        <f>'线下门店-小计'!I29*(I15/('26年全渠道汇总'!I15-'线下门店-小计'!I15))</f>
      </c>
      <c r="J97" s="170">
        <f>'线下门店-小计'!J29*(J15/('26年全渠道汇总'!J15-'线下门店-小计'!J15))</f>
      </c>
      <c r="K97" s="170">
        <f>'线下门店-小计'!K29*(K15/('26年全渠道汇总'!K15-'线下门店-小计'!K15))</f>
      </c>
      <c r="L97" s="170">
        <f>'线下门店-小计'!L29*(L15/('26年全渠道汇总'!L15-'线下门店-小计'!L15))</f>
      </c>
      <c r="M97" s="170">
        <f>'线下门店-小计'!M29*(M15/('26年全渠道汇总'!M15-'线下门店-小计'!M15))</f>
      </c>
      <c r="N97" s="170">
        <f>'线下门店-小计'!N29*(N15/('26年全渠道汇总'!N15-'线下门店-小计'!N15))</f>
      </c>
      <c r="O97" s="1"/>
      <c r="P97" s="1"/>
      <c r="Q97" s="1"/>
      <c r="R97" s="1"/>
      <c r="S97" s="1"/>
      <c r="T97" s="1"/>
    </row>
    <row r="98">
      <c r="A98" s="1"/>
      <c r="B98" s="90" t="str">
        <v>公关费用</v>
      </c>
      <c r="C98" s="170">
        <f>'线下门店-小计'!C30*(C15/('26年全渠道汇总'!C15-'线下门店-小计'!C15))</f>
      </c>
      <c r="D98" s="170">
        <f>'线下门店-小计'!D30*(D15/('26年全渠道汇总'!D15-'线下门店-小计'!D15))</f>
      </c>
      <c r="E98" s="170">
        <f>'线下门店-小计'!E30*(E15/('26年全渠道汇总'!E15-'线下门店-小计'!E15))</f>
      </c>
      <c r="F98" s="170">
        <f>'线下门店-小计'!F30*(F15/('26年全渠道汇总'!F15-'线下门店-小计'!F15))</f>
      </c>
      <c r="G98" s="170">
        <f>'线下门店-小计'!G30*(G15/('26年全渠道汇总'!G15-'线下门店-小计'!G15))</f>
      </c>
      <c r="H98" s="170">
        <f>'线下门店-小计'!H30*(H15/('26年全渠道汇总'!H15-'线下门店-小计'!H15))</f>
      </c>
      <c r="I98" s="170">
        <f>'线下门店-小计'!I30*(I15/('26年全渠道汇总'!I15-'线下门店-小计'!I15))</f>
      </c>
      <c r="J98" s="170">
        <f>'线下门店-小计'!J30*(J15/('26年全渠道汇总'!J15-'线下门店-小计'!J15))</f>
      </c>
      <c r="K98" s="170">
        <f>'线下门店-小计'!K30*(K15/('26年全渠道汇总'!K15-'线下门店-小计'!K15))</f>
      </c>
      <c r="L98" s="170">
        <f>'线下门店-小计'!L30*(L15/('26年全渠道汇总'!L15-'线下门店-小计'!L15))</f>
      </c>
      <c r="M98" s="170">
        <f>'线下门店-小计'!M30*(M15/('26年全渠道汇总'!M15-'线下门店-小计'!M15))</f>
      </c>
      <c r="N98" s="170">
        <f>'线下门店-小计'!N30*(N15/('26年全渠道汇总'!N15-'线下门店-小计'!N15))</f>
      </c>
      <c r="O98" s="1"/>
      <c r="P98" s="1"/>
      <c r="Q98" s="1"/>
      <c r="R98" s="1"/>
      <c r="S98" s="1"/>
      <c r="T98" s="1"/>
    </row>
    <row r="99">
      <c r="A99" s="1"/>
      <c r="B99" s="90" t="str">
        <v>达人种草、样机及加热</v>
      </c>
      <c r="C99" s="170">
        <f>'线下门店-小计'!C31*(C15/('26年全渠道汇总'!C15-'线下门店-小计'!C15))</f>
      </c>
      <c r="D99" s="170">
        <f>'线下门店-小计'!D31*(D15/('26年全渠道汇总'!D15-'线下门店-小计'!D15))</f>
      </c>
      <c r="E99" s="170">
        <f>'线下门店-小计'!E31*(E15/('26年全渠道汇总'!E15-'线下门店-小计'!E15))</f>
      </c>
      <c r="F99" s="170">
        <f>'线下门店-小计'!F31*(F15/('26年全渠道汇总'!F15-'线下门店-小计'!F15))</f>
      </c>
      <c r="G99" s="170">
        <f>'线下门店-小计'!G31*(G15/('26年全渠道汇总'!G15-'线下门店-小计'!G15))</f>
      </c>
      <c r="H99" s="170">
        <f>'线下门店-小计'!H31*(H15/('26年全渠道汇总'!H15-'线下门店-小计'!H15))</f>
      </c>
      <c r="I99" s="170">
        <f>'线下门店-小计'!I31*(I15/('26年全渠道汇总'!I15-'线下门店-小计'!I15))</f>
      </c>
      <c r="J99" s="170">
        <f>'线下门店-小计'!J31*(J15/('26年全渠道汇总'!J15-'线下门店-小计'!J15))</f>
      </c>
      <c r="K99" s="170">
        <f>'线下门店-小计'!K31*(K15/('26年全渠道汇总'!K15-'线下门店-小计'!K15))</f>
      </c>
      <c r="L99" s="170">
        <f>'线下门店-小计'!L31*(L15/('26年全渠道汇总'!L15-'线下门店-小计'!L15))</f>
      </c>
      <c r="M99" s="170">
        <f>'线下门店-小计'!M31*(M15/('26年全渠道汇总'!M15-'线下门店-小计'!M15))</f>
      </c>
      <c r="N99" s="170">
        <f>'线下门店-小计'!N31*(N15/('26年全渠道汇总'!N15-'线下门店-小计'!N15))</f>
      </c>
      <c r="O99" s="1"/>
      <c r="P99" s="1"/>
      <c r="Q99" s="1"/>
      <c r="R99" s="1"/>
      <c r="S99" s="1"/>
      <c r="T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>
      <c r="A101" s="1"/>
      <c r="B101" s="1" t="str">
        <v>总计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>
      <c r="A102" s="1"/>
      <c r="B102" s="85" t="str">
        <v>品牌及内容费用</v>
      </c>
      <c r="C102" s="127">
        <f>SUM(C103:C107)</f>
      </c>
      <c r="D102" s="127">
        <f>SUM(D103:D107)</f>
      </c>
      <c r="E102" s="127">
        <f>SUM(E103:E107)</f>
      </c>
      <c r="F102" s="127">
        <f>SUM(F103:F107)</f>
      </c>
      <c r="G102" s="127">
        <f>SUM(G103:G107)</f>
      </c>
      <c r="H102" s="127">
        <f>SUM(H103:H107)</f>
      </c>
      <c r="I102" s="127">
        <f>SUM(I103:I107)</f>
      </c>
      <c r="J102" s="127">
        <f>SUM(J103:J107)</f>
      </c>
      <c r="K102" s="127">
        <f>SUM(K103:K107)</f>
      </c>
      <c r="L102" s="127">
        <f>SUM(L103:L107)</f>
      </c>
      <c r="M102" s="127">
        <f>SUM(M103:M107)</f>
      </c>
      <c r="N102" s="127">
        <f>SUM(N103:N107)</f>
      </c>
      <c r="O102" s="1"/>
      <c r="P102" s="1"/>
      <c r="Q102" s="1"/>
      <c r="R102" s="1"/>
      <c r="S102" s="1"/>
      <c r="T102" s="1"/>
    </row>
    <row r="103">
      <c r="A103" s="1"/>
      <c r="B103" s="90" t="str">
        <v>展会</v>
      </c>
      <c r="C103" s="170">
        <f>C95+C27</f>
      </c>
      <c r="D103" s="170">
        <f>D95+D27</f>
      </c>
      <c r="E103" s="170">
        <f>E95+E27</f>
      </c>
      <c r="F103" s="170">
        <f>F95+F27</f>
      </c>
      <c r="G103" s="170">
        <f>G95+G27</f>
      </c>
      <c r="H103" s="170">
        <f>H95+H27</f>
      </c>
      <c r="I103" s="170">
        <f>I95+I27</f>
      </c>
      <c r="J103" s="170">
        <f>J95+J27</f>
      </c>
      <c r="K103" s="170">
        <f>K95+K27</f>
      </c>
      <c r="L103" s="170">
        <f>L95+L27</f>
      </c>
      <c r="M103" s="170">
        <f>M95+M27</f>
      </c>
      <c r="N103" s="170">
        <f>N95+N27</f>
      </c>
      <c r="O103" s="1"/>
      <c r="P103" s="1"/>
      <c r="Q103" s="1"/>
      <c r="R103" s="1"/>
      <c r="S103" s="1"/>
      <c r="T103" s="1"/>
    </row>
    <row r="104">
      <c r="A104" s="1"/>
      <c r="B104" s="90" t="str">
        <v>品牌营销</v>
      </c>
      <c r="C104" s="170">
        <f>C96+C28</f>
      </c>
      <c r="D104" s="170">
        <f>D96+D28</f>
      </c>
      <c r="E104" s="170">
        <f>E96+E28</f>
      </c>
      <c r="F104" s="170">
        <f>F96+F28</f>
      </c>
      <c r="G104" s="170">
        <f>G96+G28</f>
      </c>
      <c r="H104" s="170">
        <f>H96+H28</f>
      </c>
      <c r="I104" s="170">
        <f>I96+I28</f>
      </c>
      <c r="J104" s="170">
        <f>J96+J28</f>
      </c>
      <c r="K104" s="170">
        <f>K96+K28</f>
      </c>
      <c r="L104" s="170">
        <f>L96+L28</f>
      </c>
      <c r="M104" s="170">
        <f>M96+M28</f>
      </c>
      <c r="N104" s="170">
        <f>N96+N28</f>
      </c>
      <c r="O104" s="1"/>
      <c r="P104" s="1"/>
      <c r="Q104" s="1"/>
      <c r="R104" s="1"/>
      <c r="S104" s="1"/>
      <c r="T104" s="1"/>
    </row>
    <row r="105">
      <c r="A105" s="1"/>
      <c r="B105" s="90" t="str">
        <v>内容素材制作</v>
      </c>
      <c r="C105" s="170">
        <f>C97+C29</f>
      </c>
      <c r="D105" s="170">
        <f>D97+D29</f>
      </c>
      <c r="E105" s="170">
        <f>E97+E29</f>
      </c>
      <c r="F105" s="170">
        <f>F97+F29</f>
      </c>
      <c r="G105" s="170">
        <f>G97+G29</f>
      </c>
      <c r="H105" s="170">
        <f>H97+H29</f>
      </c>
      <c r="I105" s="170">
        <f>I97+I29</f>
      </c>
      <c r="J105" s="170">
        <f>J97+J29</f>
      </c>
      <c r="K105" s="170">
        <f>K97+K29</f>
      </c>
      <c r="L105" s="170">
        <f>L97+L29</f>
      </c>
      <c r="M105" s="170">
        <f>M97+M29</f>
      </c>
      <c r="N105" s="170">
        <f>N97+N29</f>
      </c>
      <c r="O105" s="1"/>
      <c r="P105" s="1"/>
      <c r="Q105" s="1"/>
      <c r="R105" s="1"/>
      <c r="S105" s="1"/>
      <c r="T105" s="1"/>
    </row>
    <row r="106">
      <c r="A106" s="1"/>
      <c r="B106" s="90" t="str">
        <v>公关费用</v>
      </c>
      <c r="C106" s="170">
        <f>C98+C30</f>
      </c>
      <c r="D106" s="170">
        <f>D98+D30</f>
      </c>
      <c r="E106" s="170">
        <f>E98+E30</f>
      </c>
      <c r="F106" s="170">
        <f>F98+F30</f>
      </c>
      <c r="G106" s="170">
        <f>G98+G30</f>
      </c>
      <c r="H106" s="170">
        <f>H98+H30</f>
      </c>
      <c r="I106" s="170">
        <f>I98+I30</f>
      </c>
      <c r="J106" s="170">
        <f>J98+J30</f>
      </c>
      <c r="K106" s="170">
        <f>K98+K30</f>
      </c>
      <c r="L106" s="170">
        <f>L98+L30</f>
      </c>
      <c r="M106" s="170">
        <f>M98+M30</f>
      </c>
      <c r="N106" s="170">
        <f>N98+N30</f>
      </c>
      <c r="O106" s="1"/>
      <c r="P106" s="1"/>
      <c r="Q106" s="1"/>
      <c r="R106" s="1"/>
      <c r="S106" s="1"/>
      <c r="T106" s="1"/>
    </row>
    <row r="107">
      <c r="A107" s="1"/>
      <c r="B107" s="90" t="str">
        <v>达人种草、样机及加热</v>
      </c>
      <c r="C107" s="170">
        <f>C99+C31</f>
      </c>
      <c r="D107" s="170">
        <f>D99+D31</f>
      </c>
      <c r="E107" s="170">
        <f>E99+E31</f>
      </c>
      <c r="F107" s="170">
        <f>F99+F31</f>
      </c>
      <c r="G107" s="170">
        <f>G99+G31</f>
      </c>
      <c r="H107" s="170">
        <f>H99+H31</f>
      </c>
      <c r="I107" s="170">
        <f>I99+I31</f>
      </c>
      <c r="J107" s="170">
        <f>J99+J31</f>
      </c>
      <c r="K107" s="170">
        <f>K99+K31</f>
      </c>
      <c r="L107" s="170">
        <f>L99+L31</f>
      </c>
      <c r="M107" s="170">
        <f>M99+M31</f>
      </c>
      <c r="N107" s="170">
        <f>N99+N31</f>
      </c>
      <c r="O107" s="1"/>
      <c r="P107" s="1"/>
      <c r="Q107" s="1"/>
      <c r="R107" s="1"/>
      <c r="S107" s="1"/>
      <c r="T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</sheetData>
  <mergeCells>
    <mergeCell ref="Q44:Q46"/>
  </mergeCells>
  <picture r:id="rId1"/>
</worksheet>
</file>

<file path=xl/worksheets/sheet25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tabColor rgb="FF34c724"/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A1" s="1"/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  <c r="R1" s="1"/>
      <c r="S1" s="1"/>
      <c r="T1" s="1"/>
    </row>
    <row r="2">
      <c r="A2" s="1"/>
      <c r="B2" s="90" t="str">
        <v>退后销量</v>
      </c>
      <c r="C2" s="118">
        <f>'线下门店-直营'!C2+'线下门店-经销'!C2</f>
      </c>
      <c r="D2" s="118">
        <f>'线下门店-直营'!D2+'线下门店-经销'!D2</f>
      </c>
      <c r="E2" s="118">
        <f>'线下门店-直营'!E2+'线下门店-经销'!E2</f>
      </c>
      <c r="F2" s="118">
        <f>'线下门店-直营'!F2+'线下门店-经销'!F2</f>
      </c>
      <c r="G2" s="118">
        <f>'线下门店-直营'!G2+'线下门店-经销'!G2</f>
      </c>
      <c r="H2" s="118">
        <f>'线下门店-直营'!H2+'线下门店-经销'!H2</f>
      </c>
      <c r="I2" s="118">
        <f>'线下门店-直营'!I2+'线下门店-经销'!I2</f>
      </c>
      <c r="J2" s="118">
        <f>'线下门店-直营'!J2+'线下门店-经销'!J2</f>
      </c>
      <c r="K2" s="118">
        <f>'线下门店-直营'!K2+'线下门店-经销'!K2</f>
      </c>
      <c r="L2" s="118">
        <f>'线下门店-直营'!L2+'线下门店-经销'!L2</f>
      </c>
      <c r="M2" s="118">
        <f>'线下门店-直营'!M2+'线下门店-经销'!M2</f>
      </c>
      <c r="N2" s="118">
        <f>'线下门店-直营'!N2+'线下门店-经销'!N2</f>
      </c>
      <c r="O2" s="118">
        <f>SUM(C2:N2)</f>
      </c>
      <c r="P2" s="118"/>
      <c r="Q2" s="1"/>
      <c r="R2" s="1"/>
      <c r="S2" s="1"/>
      <c r="T2" s="1"/>
    </row>
    <row r="3">
      <c r="A3" s="135"/>
      <c r="B3" s="94" t="str">
        <v>自补前GMV</v>
      </c>
      <c r="C3" s="94">
        <f>'线下门店-直营'!C3+'线下门店-经销'!C3</f>
      </c>
      <c r="D3" s="94">
        <f>'线下门店-直营'!D3+'线下门店-经销'!D3</f>
      </c>
      <c r="E3" s="94">
        <f>'线下门店-直营'!E3+'线下门店-经销'!E3</f>
      </c>
      <c r="F3" s="94">
        <f>'线下门店-直营'!F3+'线下门店-经销'!F3</f>
      </c>
      <c r="G3" s="94">
        <f>'线下门店-直营'!G3+'线下门店-经销'!G3</f>
      </c>
      <c r="H3" s="94">
        <f>'线下门店-直营'!H3+'线下门店-经销'!H3</f>
      </c>
      <c r="I3" s="94">
        <f>'线下门店-直营'!I3+'线下门店-经销'!I3</f>
      </c>
      <c r="J3" s="94">
        <f>'线下门店-直营'!J3+'线下门店-经销'!J3</f>
      </c>
      <c r="K3" s="94">
        <f>'线下门店-直营'!K3+'线下门店-经销'!K3</f>
      </c>
      <c r="L3" s="94">
        <f>'线下门店-直营'!L3+'线下门店-经销'!L3</f>
      </c>
      <c r="M3" s="94">
        <f>'线下门店-直营'!M3+'线下门店-经销'!M3</f>
      </c>
      <c r="N3" s="94">
        <f>'线下门店-直营'!N3+'线下门店-经销'!N3</f>
      </c>
      <c r="O3" s="94">
        <f>SUM(C3:N3)</f>
      </c>
      <c r="P3" s="94"/>
      <c r="Q3" s="146" t="str">
        <v>渠道填写</v>
      </c>
      <c r="R3" s="1"/>
      <c r="S3" s="1"/>
      <c r="T3" s="1"/>
    </row>
    <row r="4">
      <c r="A4" s="135"/>
      <c r="B4" s="94" t="str">
        <v>自补前GSV</v>
      </c>
      <c r="C4" s="94">
        <f>'线下门店-直营'!C4+'线下门店-经销'!C4</f>
      </c>
      <c r="D4" s="94">
        <f>'线下门店-直营'!D4+'线下门店-经销'!D4</f>
      </c>
      <c r="E4" s="94">
        <f>'线下门店-直营'!E4+'线下门店-经销'!E4</f>
      </c>
      <c r="F4" s="94">
        <f>'线下门店-直营'!F4+'线下门店-经销'!F4</f>
      </c>
      <c r="G4" s="94">
        <f>'线下门店-直营'!G4+'线下门店-经销'!G4</f>
      </c>
      <c r="H4" s="94">
        <f>'线下门店-直营'!H4+'线下门店-经销'!H4</f>
      </c>
      <c r="I4" s="94">
        <f>'线下门店-直营'!I4+'线下门店-经销'!I4</f>
      </c>
      <c r="J4" s="94">
        <f>'线下门店-直营'!J4+'线下门店-经销'!J4</f>
      </c>
      <c r="K4" s="94">
        <f>'线下门店-直营'!K4+'线下门店-经销'!K4</f>
      </c>
      <c r="L4" s="94">
        <f>'线下门店-直营'!L4+'线下门店-经销'!L4</f>
      </c>
      <c r="M4" s="94">
        <f>'线下门店-直营'!M4+'线下门店-经销'!M4</f>
      </c>
      <c r="N4" s="94">
        <f>'线下门店-直营'!N4+'线下门店-经销'!N4</f>
      </c>
      <c r="O4" s="94"/>
      <c r="P4" s="94"/>
      <c r="Q4" s="146" t="str">
        <v>渠道填写</v>
      </c>
      <c r="R4" s="1"/>
      <c r="S4" s="1"/>
      <c r="T4" s="1"/>
    </row>
    <row r="5">
      <c r="A5" s="135"/>
      <c r="B5" s="94" t="str">
        <v>国补自补费用</v>
      </c>
      <c r="C5" s="94">
        <f>'线下门店-直营'!C5+'线下门店-经销'!C5</f>
      </c>
      <c r="D5" s="94">
        <f>'线下门店-直营'!D5+'线下门店-经销'!D5</f>
      </c>
      <c r="E5" s="94">
        <f>'线下门店-直营'!E5+'线下门店-经销'!E5</f>
      </c>
      <c r="F5" s="94">
        <f>'线下门店-直营'!F5+'线下门店-经销'!F5</f>
      </c>
      <c r="G5" s="94">
        <f>'线下门店-直营'!G5+'线下门店-经销'!G5</f>
      </c>
      <c r="H5" s="94">
        <f>'线下门店-直营'!H5+'线下门店-经销'!H5</f>
      </c>
      <c r="I5" s="94">
        <f>'线下门店-直营'!I5+'线下门店-经销'!I5</f>
      </c>
      <c r="J5" s="94">
        <f>'线下门店-直营'!J5+'线下门店-经销'!J5</f>
      </c>
      <c r="K5" s="94">
        <f>'线下门店-直营'!K5+'线下门店-经销'!K5</f>
      </c>
      <c r="L5" s="94">
        <f>'线下门店-直营'!L5+'线下门店-经销'!L5</f>
      </c>
      <c r="M5" s="94">
        <f>'线下门店-直营'!M5+'线下门店-经销'!M5</f>
      </c>
      <c r="N5" s="94">
        <f>'线下门店-直营'!N5+'线下门店-经销'!N5</f>
      </c>
      <c r="O5" s="94">
        <f>SUM(C5:N5)</f>
      </c>
      <c r="P5" s="94"/>
      <c r="Q5" s="126" t="str">
        <v>渠道填写</v>
      </c>
      <c r="R5" s="1"/>
      <c r="S5" s="1"/>
      <c r="T5" s="1"/>
    </row>
    <row r="6">
      <c r="A6" s="135"/>
      <c r="B6" s="98" t="str">
        <v>GMV（国补后）</v>
      </c>
      <c r="C6" s="224">
        <f>'线下门店-直营'!C6+'线下门店-经销'!C6</f>
      </c>
      <c r="D6" s="224">
        <f>'线下门店-直营'!D6+'线下门店-经销'!D6</f>
      </c>
      <c r="E6" s="224">
        <f>'线下门店-直营'!E6+'线下门店-经销'!E6</f>
      </c>
      <c r="F6" s="224">
        <f>'线下门店-直营'!F6+'线下门店-经销'!F6</f>
      </c>
      <c r="G6" s="224">
        <f>'线下门店-直营'!G6+'线下门店-经销'!G6</f>
      </c>
      <c r="H6" s="224">
        <f>'线下门店-直营'!H6+'线下门店-经销'!H6</f>
      </c>
      <c r="I6" s="224">
        <f>'线下门店-直营'!I6+'线下门店-经销'!I6</f>
      </c>
      <c r="J6" s="224">
        <f>'线下门店-直营'!J6+'线下门店-经销'!J6</f>
      </c>
      <c r="K6" s="224">
        <f>'线下门店-直营'!K6+'线下门店-经销'!K6</f>
      </c>
      <c r="L6" s="224">
        <f>'线下门店-直营'!L6+'线下门店-经销'!L6</f>
      </c>
      <c r="M6" s="224">
        <f>'线下门店-直营'!M6+'线下门店-经销'!M6</f>
      </c>
      <c r="N6" s="224">
        <f>'线下门店-直营'!N6+'线下门店-经销'!N6</f>
      </c>
      <c r="O6" s="98">
        <f>SUM(C6:N6)</f>
      </c>
      <c r="P6" s="98"/>
      <c r="Q6" s="126" t="str">
        <v>渠道填写</v>
      </c>
      <c r="R6" s="1"/>
      <c r="S6" s="1"/>
      <c r="T6" s="1"/>
    </row>
    <row r="7">
      <c r="A7" s="135"/>
      <c r="B7" s="102" t="str">
        <v>退货率（发货前+后）</v>
      </c>
      <c r="C7" s="102">
        <v>0.05</v>
      </c>
      <c r="D7" s="102">
        <v>0.05</v>
      </c>
      <c r="E7" s="102">
        <v>0.05</v>
      </c>
      <c r="F7" s="102">
        <v>0.05</v>
      </c>
      <c r="G7" s="102">
        <v>0.05</v>
      </c>
      <c r="H7" s="102">
        <v>0.05</v>
      </c>
      <c r="I7" s="102">
        <v>0.05</v>
      </c>
      <c r="J7" s="102">
        <v>0.05</v>
      </c>
      <c r="K7" s="102">
        <v>0.05</v>
      </c>
      <c r="L7" s="102">
        <v>0.05</v>
      </c>
      <c r="M7" s="102">
        <v>0.05</v>
      </c>
      <c r="N7" s="102">
        <v>0.05</v>
      </c>
      <c r="O7" s="102">
        <f>1-O8/O6</f>
      </c>
      <c r="P7" s="102"/>
      <c r="Q7" s="1" t="str">
        <v>渠道填写</v>
      </c>
      <c r="R7" s="1"/>
      <c r="S7" s="1"/>
      <c r="T7" s="1"/>
    </row>
    <row r="8">
      <c r="A8" s="135"/>
      <c r="B8" s="98" t="str">
        <v>GSV（国补后）</v>
      </c>
      <c r="C8" s="98">
        <f>'线下门店-直营'!C8+'线下门店-经销'!C8</f>
      </c>
      <c r="D8" s="98">
        <f>'线下门店-直营'!D8+'线下门店-经销'!D8</f>
      </c>
      <c r="E8" s="98">
        <f>'线下门店-直营'!E8+'线下门店-经销'!E8</f>
      </c>
      <c r="F8" s="98">
        <f>'线下门店-直营'!F8+'线下门店-经销'!F8</f>
      </c>
      <c r="G8" s="98">
        <f>'线下门店-直营'!G8+'线下门店-经销'!G8</f>
      </c>
      <c r="H8" s="98">
        <f>'线下门店-直营'!H8+'线下门店-经销'!H8</f>
      </c>
      <c r="I8" s="98">
        <f>'线下门店-直营'!I8+'线下门店-经销'!I8</f>
      </c>
      <c r="J8" s="98">
        <f>'线下门店-直营'!J8+'线下门店-经销'!J8</f>
      </c>
      <c r="K8" s="98">
        <f>'线下门店-直营'!K8+'线下门店-经销'!K8</f>
      </c>
      <c r="L8" s="98">
        <f>'线下门店-直营'!L8+'线下门店-经销'!L8</f>
      </c>
      <c r="M8" s="98">
        <f>'线下门店-直营'!M8+'线下门店-经销'!M8</f>
      </c>
      <c r="N8" s="98">
        <f>'线下门店-直营'!N8+'线下门店-经销'!N8</f>
      </c>
      <c r="O8" s="98">
        <f>SUM(C8:N8)</f>
      </c>
      <c r="P8" s="98"/>
      <c r="Q8" s="1" t="str">
        <v>渠道填写</v>
      </c>
      <c r="R8" s="1"/>
      <c r="S8" s="1"/>
      <c r="T8" s="1"/>
    </row>
    <row r="9">
      <c r="A9" s="1"/>
      <c r="B9" s="90"/>
      <c r="C9" s="88">
        <f>'线下门店-直营'!C9+'线下门店-经销'!C9</f>
      </c>
      <c r="D9" s="118">
        <f>'线下门店-直营'!D9+'线下门店-经销'!D9</f>
      </c>
      <c r="E9" s="118">
        <f>'线下门店-直营'!E9+'线下门店-经销'!E9</f>
      </c>
      <c r="F9" s="118">
        <f>'线下门店-直营'!F9+'线下门店-经销'!F9</f>
      </c>
      <c r="G9" s="118">
        <f>'线下门店-直营'!G9+'线下门店-经销'!G9</f>
      </c>
      <c r="H9" s="118">
        <f>'线下门店-直营'!H9+'线下门店-经销'!H9</f>
      </c>
      <c r="I9" s="118">
        <f>'线下门店-直营'!I9+'线下门店-经销'!I9</f>
      </c>
      <c r="J9" s="118">
        <f>'线下门店-直营'!J9+'线下门店-经销'!J9</f>
      </c>
      <c r="K9" s="118">
        <f>'线下门店-直营'!K9+'线下门店-经销'!K9</f>
      </c>
      <c r="L9" s="118">
        <f>'线下门店-直营'!L9+'线下门店-经销'!L9</f>
      </c>
      <c r="M9" s="118">
        <f>'线下门店-直营'!M9+'线下门店-经销'!M9</f>
      </c>
      <c r="N9" s="118">
        <f>'线下门店-直营'!N9+'线下门店-经销'!N9</f>
      </c>
      <c r="O9" s="88">
        <f>O8+O14-O10</f>
      </c>
      <c r="P9" s="118"/>
      <c r="Q9" s="1"/>
      <c r="R9" s="1"/>
      <c r="S9" s="1"/>
      <c r="T9" s="1"/>
    </row>
    <row r="10">
      <c r="A10" s="135"/>
      <c r="B10" s="98" t="str">
        <v>零售价（去除退货后的）</v>
      </c>
      <c r="C10" s="98">
        <f>'线下门店-直营'!C10+'线下门店-经销'!C10</f>
      </c>
      <c r="D10" s="98">
        <f>'线下门店-直营'!D10+'线下门店-经销'!D10</f>
      </c>
      <c r="E10" s="98">
        <f>'线下门店-直营'!E10+'线下门店-经销'!E10</f>
      </c>
      <c r="F10" s="98">
        <f>'线下门店-直营'!F10+'线下门店-经销'!F10</f>
      </c>
      <c r="G10" s="98">
        <f>'线下门店-直营'!G10+'线下门店-经销'!G10</f>
      </c>
      <c r="H10" s="98">
        <f>'线下门店-直营'!H10+'线下门店-经销'!H10</f>
      </c>
      <c r="I10" s="98">
        <f>'线下门店-直营'!I10+'线下门店-经销'!I10</f>
      </c>
      <c r="J10" s="98">
        <f>'线下门店-直营'!J10+'线下门店-经销'!J10</f>
      </c>
      <c r="K10" s="98">
        <f>'线下门店-直营'!K10+'线下门店-经销'!K10</f>
      </c>
      <c r="L10" s="98">
        <f>'线下门店-直营'!L10+'线下门店-经销'!L10</f>
      </c>
      <c r="M10" s="98">
        <f>'线下门店-直营'!M10+'线下门店-经销'!M10</f>
      </c>
      <c r="N10" s="98">
        <f>'线下门店-直营'!N10+'线下门店-经销'!N10</f>
      </c>
      <c r="O10" s="98">
        <f>SUM(C10:N10)</f>
      </c>
      <c r="P10" s="98"/>
      <c r="Q10" s="1"/>
      <c r="R10" s="1"/>
      <c r="S10" s="1"/>
      <c r="T10" s="1"/>
    </row>
    <row r="11">
      <c r="A11" s="1"/>
      <c r="B11" s="85" t="str">
        <v>合同折扣及返利 (线下）</v>
      </c>
      <c r="C11" s="127">
        <f>'线下门店-直营'!C11+'线下门店-经销'!C11</f>
      </c>
      <c r="D11" s="127">
        <f>'线下门店-直营'!D11+'线下门店-经销'!D11</f>
      </c>
      <c r="E11" s="127">
        <f>'线下门店-直营'!E11+'线下门店-经销'!E11</f>
      </c>
      <c r="F11" s="127">
        <f>'线下门店-直营'!F11+'线下门店-经销'!F11</f>
      </c>
      <c r="G11" s="127">
        <f>'线下门店-直营'!G11+'线下门店-经销'!G11</f>
      </c>
      <c r="H11" s="127">
        <f>'线下门店-直营'!H11+'线下门店-经销'!H11</f>
      </c>
      <c r="I11" s="127">
        <f>'线下门店-直营'!I11+'线下门店-经销'!I11</f>
      </c>
      <c r="J11" s="127">
        <f>'线下门店-直营'!J11+'线下门店-经销'!J11</f>
      </c>
      <c r="K11" s="127">
        <f>'线下门店-直营'!K11+'线下门店-经销'!K11</f>
      </c>
      <c r="L11" s="127">
        <f>'线下门店-直营'!L11+'线下门店-经销'!L11</f>
      </c>
      <c r="M11" s="127">
        <f>'线下门店-直营'!M11+'线下门店-经销'!M11</f>
      </c>
      <c r="N11" s="127">
        <f>'线下门店-直营'!N11+'线下门店-经销'!N11</f>
      </c>
      <c r="O11" s="127">
        <f>SUM(C11:N11)</f>
      </c>
      <c r="P11" s="127"/>
      <c r="Q11" s="1" t="str">
        <v>线下渠道填写</v>
      </c>
      <c r="R11" s="1"/>
      <c r="S11" s="1"/>
      <c r="T11" s="1"/>
    </row>
    <row r="12">
      <c r="A12" s="1"/>
      <c r="B12" s="85" t="str">
        <v>国补自补 （线上）</v>
      </c>
      <c r="C12" s="127">
        <f>'线下门店-直营'!C12+'线下门店-经销'!C12</f>
      </c>
      <c r="D12" s="127">
        <f>'线下门店-直营'!D12+'线下门店-经销'!D12</f>
      </c>
      <c r="E12" s="127">
        <f>'线下门店-直营'!E12+'线下门店-经销'!E12</f>
      </c>
      <c r="F12" s="127">
        <f>'线下门店-直营'!F12+'线下门店-经销'!F12</f>
      </c>
      <c r="G12" s="127">
        <f>'线下门店-直营'!G12+'线下门店-经销'!G12</f>
      </c>
      <c r="H12" s="127">
        <f>'线下门店-直营'!H12+'线下门店-经销'!H12</f>
      </c>
      <c r="I12" s="127">
        <f>'线下门店-直营'!I12+'线下门店-经销'!I12</f>
      </c>
      <c r="J12" s="127">
        <f>'线下门店-直营'!J12+'线下门店-经销'!J12</f>
      </c>
      <c r="K12" s="127">
        <f>'线下门店-直营'!K12+'线下门店-经销'!K12</f>
      </c>
      <c r="L12" s="127">
        <f>'线下门店-直营'!L12+'线下门店-经销'!L12</f>
      </c>
      <c r="M12" s="127">
        <f>'线下门店-直营'!M12+'线下门店-经销'!M12</f>
      </c>
      <c r="N12" s="127">
        <f>'线下门店-直营'!N12+'线下门店-经销'!N12</f>
      </c>
      <c r="O12" s="127">
        <f>SUM(C12:N12)</f>
      </c>
      <c r="P12" s="173"/>
      <c r="Q12" s="1" t="str">
        <v>渠道填写</v>
      </c>
      <c r="R12" s="54">
        <f>O12/$O$10</f>
      </c>
      <c r="S12" s="1"/>
      <c r="T12" s="1"/>
    </row>
    <row r="13">
      <c r="A13" s="1"/>
      <c r="B13" s="85" t="str">
        <v>红包消费券等促销折扣</v>
      </c>
      <c r="C13" s="127">
        <f>'线下门店-直营'!C13+'线下门店-经销'!C13</f>
      </c>
      <c r="D13" s="127">
        <f>'线下门店-直营'!D13+'线下门店-经销'!D13</f>
      </c>
      <c r="E13" s="127">
        <f>'线下门店-直营'!E13+'线下门店-经销'!E13</f>
      </c>
      <c r="F13" s="127">
        <f>'线下门店-直营'!F13+'线下门店-经销'!F13</f>
      </c>
      <c r="G13" s="127">
        <f>'线下门店-直营'!G13+'线下门店-经销'!G13</f>
      </c>
      <c r="H13" s="127">
        <f>'线下门店-直营'!H13+'线下门店-经销'!H13</f>
      </c>
      <c r="I13" s="127">
        <f>'线下门店-直营'!I13+'线下门店-经销'!I13</f>
      </c>
      <c r="J13" s="127">
        <f>'线下门店-直营'!J13+'线下门店-经销'!J13</f>
      </c>
      <c r="K13" s="127">
        <f>'线下门店-直营'!K13+'线下门店-经销'!K13</f>
      </c>
      <c r="L13" s="127">
        <f>'线下门店-直营'!L13+'线下门店-经销'!L13</f>
      </c>
      <c r="M13" s="127">
        <f>'线下门店-直营'!M13+'线下门店-经销'!M13</f>
      </c>
      <c r="N13" s="127">
        <f>'线下门店-直营'!N13+'线下门店-经销'!N13</f>
      </c>
      <c r="O13" s="127">
        <f>SUM(C13:N13)</f>
      </c>
      <c r="P13" s="127"/>
      <c r="Q13" s="1" t="str">
        <v>渠道填写</v>
      </c>
      <c r="R13" s="54">
        <f>O13/$O$10</f>
      </c>
      <c r="S13" s="1"/>
      <c r="T13" s="1"/>
    </row>
    <row r="14">
      <c r="A14" s="1"/>
      <c r="B14" s="83" t="str">
        <v>TTL 折扣合计</v>
      </c>
      <c r="C14" s="115">
        <f>'线下门店-直营'!C14+'线下门店-经销'!C14</f>
      </c>
      <c r="D14" s="115">
        <f>'线下门店-直营'!D14+'线下门店-经销'!D14</f>
      </c>
      <c r="E14" s="115">
        <f>'线下门店-直营'!E14+'线下门店-经销'!E14</f>
      </c>
      <c r="F14" s="115">
        <f>'线下门店-直营'!F14+'线下门店-经销'!F14</f>
      </c>
      <c r="G14" s="115">
        <f>'线下门店-直营'!G14+'线下门店-经销'!G14</f>
      </c>
      <c r="H14" s="115">
        <f>'线下门店-直营'!H14+'线下门店-经销'!H14</f>
      </c>
      <c r="I14" s="115">
        <f>'线下门店-直营'!I14+'线下门店-经销'!I14</f>
      </c>
      <c r="J14" s="115">
        <f>'线下门店-直营'!J14+'线下门店-经销'!J14</f>
      </c>
      <c r="K14" s="115">
        <f>'线下门店-直营'!K14+'线下门店-经销'!K14</f>
      </c>
      <c r="L14" s="115">
        <f>'线下门店-直营'!L14+'线下门店-经销'!L14</f>
      </c>
      <c r="M14" s="115">
        <f>'线下门店-直营'!M14+'线下门店-经销'!M14</f>
      </c>
      <c r="N14" s="115">
        <f>'线下门店-直营'!N14+'线下门店-经销'!N14</f>
      </c>
      <c r="O14" s="115">
        <f>SUM(C14:N14)</f>
      </c>
      <c r="P14" s="115"/>
      <c r="Q14" s="1"/>
      <c r="R14" s="1"/>
      <c r="S14" s="1"/>
      <c r="T14" s="1"/>
    </row>
    <row r="15">
      <c r="A15" s="135"/>
      <c r="B15" s="98" t="str">
        <v>GSV</v>
      </c>
      <c r="C15" s="98">
        <f>'线下门店-直营'!C15+'线下门店-经销'!C15</f>
      </c>
      <c r="D15" s="98">
        <f>'线下门店-直营'!D15+'线下门店-经销'!D15</f>
      </c>
      <c r="E15" s="98">
        <f>'线下门店-直营'!E15+'线下门店-经销'!E15</f>
      </c>
      <c r="F15" s="98">
        <f>'线下门店-直营'!F15+'线下门店-经销'!F15</f>
      </c>
      <c r="G15" s="98">
        <f>'线下门店-直营'!G15+'线下门店-经销'!G15</f>
      </c>
      <c r="H15" s="98">
        <f>'线下门店-直营'!H15+'线下门店-经销'!H15</f>
      </c>
      <c r="I15" s="98">
        <f>'线下门店-直营'!I15+'线下门店-经销'!I15</f>
      </c>
      <c r="J15" s="98">
        <f>'线下门店-直营'!J15+'线下门店-经销'!J15</f>
      </c>
      <c r="K15" s="98">
        <f>'线下门店-直营'!K15+'线下门店-经销'!K15</f>
      </c>
      <c r="L15" s="98">
        <f>'线下门店-直营'!L15+'线下门店-经销'!L15</f>
      </c>
      <c r="M15" s="98">
        <f>'线下门店-直营'!M15+'线下门店-经销'!M15</f>
      </c>
      <c r="N15" s="98">
        <f>'线下门店-直营'!N15+'线下门店-经销'!N15</f>
      </c>
      <c r="O15" s="98">
        <f>SUM(C15:N15)</f>
      </c>
      <c r="P15" s="98"/>
      <c r="Q15" s="1"/>
      <c r="R15" s="1"/>
      <c r="S15" s="1"/>
      <c r="T15" s="1"/>
    </row>
    <row r="16">
      <c r="A16" s="135"/>
      <c r="B16" s="98" t="str">
        <v>营业收入</v>
      </c>
      <c r="C16" s="98">
        <f>'线下门店-直营'!C16+'线下门店-经销'!C16</f>
      </c>
      <c r="D16" s="98">
        <f>'线下门店-直营'!D16+'线下门店-经销'!D16</f>
      </c>
      <c r="E16" s="98">
        <f>'线下门店-直营'!E16+'线下门店-经销'!E16</f>
      </c>
      <c r="F16" s="98">
        <f>'线下门店-直营'!F16+'线下门店-经销'!F16</f>
      </c>
      <c r="G16" s="98">
        <f>'线下门店-直营'!G16+'线下门店-经销'!G16</f>
      </c>
      <c r="H16" s="98">
        <f>'线下门店-直营'!H16+'线下门店-经销'!H16</f>
      </c>
      <c r="I16" s="98">
        <f>'线下门店-直营'!I16+'线下门店-经销'!I16</f>
      </c>
      <c r="J16" s="98">
        <f>'线下门店-直营'!J16+'线下门店-经销'!J16</f>
      </c>
      <c r="K16" s="98">
        <f>'线下门店-直营'!K16+'线下门店-经销'!K16</f>
      </c>
      <c r="L16" s="98">
        <f>'线下门店-直营'!L16+'线下门店-经销'!L16</f>
      </c>
      <c r="M16" s="98">
        <f>'线下门店-直营'!M16+'线下门店-经销'!M16</f>
      </c>
      <c r="N16" s="98">
        <f>'线下门店-直营'!N16+'线下门店-经销'!N16</f>
      </c>
      <c r="O16" s="98">
        <f>SUM(C16:N16)</f>
      </c>
      <c r="P16" s="98"/>
      <c r="Q16" s="1"/>
      <c r="R16" s="1"/>
      <c r="S16" s="1"/>
      <c r="T16" s="1"/>
    </row>
    <row r="17">
      <c r="A17" s="1"/>
      <c r="B17" s="1"/>
      <c r="C17" s="1">
        <f>'线下门店-直营'!C17+'线下门店-经销'!C17</f>
      </c>
      <c r="D17" s="1">
        <f>'线下门店-直营'!D17+'线下门店-经销'!D17</f>
      </c>
      <c r="E17" s="1">
        <f>'线下门店-直营'!E17+'线下门店-经销'!E17</f>
      </c>
      <c r="F17" s="1">
        <f>'线下门店-直营'!F17+'线下门店-经销'!F17</f>
      </c>
      <c r="G17" s="1">
        <f>'线下门店-直营'!G17+'线下门店-经销'!G17</f>
      </c>
      <c r="H17" s="1">
        <f>'线下门店-直营'!H17+'线下门店-经销'!H17</f>
      </c>
      <c r="I17" s="1">
        <f>'线下门店-直营'!I17+'线下门店-经销'!I17</f>
      </c>
      <c r="J17" s="1">
        <f>'线下门店-直营'!J17+'线下门店-经销'!J17</f>
      </c>
      <c r="K17" s="1">
        <f>'线下门店-直营'!K17+'线下门店-经销'!K17</f>
      </c>
      <c r="L17" s="1">
        <f>'线下门店-直营'!L17+'线下门店-经销'!L17</f>
      </c>
      <c r="M17" s="1">
        <f>'线下门店-直营'!M17+'线下门店-经销'!M17</f>
      </c>
      <c r="N17" s="1">
        <f>'线下门店-直营'!N17+'线下门店-经销'!N17</f>
      </c>
      <c r="O17" s="1"/>
      <c r="P17" s="1"/>
      <c r="Q17" s="1"/>
      <c r="R17" s="1"/>
      <c r="S17" s="1"/>
      <c r="T17" s="1"/>
    </row>
    <row r="18">
      <c r="A18" s="1"/>
      <c r="B18" s="85" t="str">
        <v>标准主品配件成本</v>
      </c>
      <c r="C18" s="127">
        <f>'线下门店-直营'!C18+'线下门店-经销'!C18</f>
      </c>
      <c r="D18" s="127">
        <f>'线下门店-直营'!D18+'线下门店-经销'!D18</f>
      </c>
      <c r="E18" s="127">
        <f>'线下门店-直营'!E18+'线下门店-经销'!E18</f>
      </c>
      <c r="F18" s="127">
        <f>'线下门店-直营'!F18+'线下门店-经销'!F18</f>
      </c>
      <c r="G18" s="127">
        <f>'线下门店-直营'!G18+'线下门店-经销'!G18</f>
      </c>
      <c r="H18" s="127">
        <f>'线下门店-直营'!H18+'线下门店-经销'!H18</f>
      </c>
      <c r="I18" s="127">
        <f>'线下门店-直营'!I18+'线下门店-经销'!I18</f>
      </c>
      <c r="J18" s="127">
        <f>'线下门店-直营'!J18+'线下门店-经销'!J18</f>
      </c>
      <c r="K18" s="127">
        <f>'线下门店-直营'!K18+'线下门店-经销'!K18</f>
      </c>
      <c r="L18" s="127">
        <f>'线下门店-直营'!L18+'线下门店-经销'!L18</f>
      </c>
      <c r="M18" s="127">
        <f>'线下门店-直营'!M18+'线下门店-经销'!M18</f>
      </c>
      <c r="N18" s="127">
        <f>'线下门店-直营'!N18+'线下门店-经销'!N18</f>
      </c>
      <c r="O18" s="127">
        <f>SUM(C18:N18)</f>
      </c>
      <c r="P18" s="128">
        <f>O18/O16</f>
      </c>
      <c r="Q18" s="1"/>
      <c r="R18" s="1"/>
      <c r="S18" s="1"/>
      <c r="T18" s="1"/>
    </row>
    <row r="19">
      <c r="A19" s="1"/>
      <c r="B19" s="83" t="str">
        <v>产品毛利</v>
      </c>
      <c r="C19" s="115">
        <f>'线下门店-直营'!C19+'线下门店-经销'!C19</f>
      </c>
      <c r="D19" s="115">
        <f>'线下门店-直营'!D19+'线下门店-经销'!D19</f>
      </c>
      <c r="E19" s="115">
        <f>'线下门店-直营'!E19+'线下门店-经销'!E19</f>
      </c>
      <c r="F19" s="115">
        <f>'线下门店-直营'!F19+'线下门店-经销'!F19</f>
      </c>
      <c r="G19" s="115">
        <f>'线下门店-直营'!G19+'线下门店-经销'!G19</f>
      </c>
      <c r="H19" s="115">
        <f>'线下门店-直营'!H19+'线下门店-经销'!H19</f>
      </c>
      <c r="I19" s="115">
        <f>'线下门店-直营'!I19+'线下门店-经销'!I19</f>
      </c>
      <c r="J19" s="115">
        <f>'线下门店-直营'!J19+'线下门店-经销'!J19</f>
      </c>
      <c r="K19" s="115">
        <f>'线下门店-直营'!K19+'线下门店-经销'!K19</f>
      </c>
      <c r="L19" s="115">
        <f>'线下门店-直营'!L19+'线下门店-经销'!L19</f>
      </c>
      <c r="M19" s="115">
        <f>'线下门店-直营'!M19+'线下门店-经销'!M19</f>
      </c>
      <c r="N19" s="115">
        <f>'线下门店-直营'!N19+'线下门店-经销'!N19</f>
      </c>
      <c r="O19" s="115">
        <f>SUM(C19:N19)</f>
      </c>
      <c r="P19" s="116">
        <f>O19/$O$16</f>
      </c>
      <c r="Q19" s="1"/>
      <c r="R19" s="1"/>
      <c r="S19" s="1"/>
      <c r="T19" s="1"/>
    </row>
    <row r="20">
      <c r="A20" s="118"/>
      <c r="B20" s="90" t="str">
        <v>头程/尾程物流/仓储费用</v>
      </c>
      <c r="C20" s="118">
        <f>'线下门店-直营'!C20+'线下门店-经销'!C20</f>
      </c>
      <c r="D20" s="118">
        <f>'线下门店-直营'!D20+'线下门店-经销'!D20</f>
      </c>
      <c r="E20" s="118">
        <f>'线下门店-直营'!E20+'线下门店-经销'!E20</f>
      </c>
      <c r="F20" s="118">
        <f>'线下门店-直营'!F20+'线下门店-经销'!F20</f>
      </c>
      <c r="G20" s="118">
        <f>'线下门店-直营'!G20+'线下门店-经销'!G20</f>
      </c>
      <c r="H20" s="118">
        <f>'线下门店-直营'!H20+'线下门店-经销'!H20</f>
      </c>
      <c r="I20" s="118">
        <f>'线下门店-直营'!I20+'线下门店-经销'!I20</f>
      </c>
      <c r="J20" s="118">
        <f>'线下门店-直营'!J20+'线下门店-经销'!J20</f>
      </c>
      <c r="K20" s="118">
        <f>'线下门店-直营'!K20+'线下门店-经销'!K20</f>
      </c>
      <c r="L20" s="118">
        <f>'线下门店-直营'!L20+'线下门店-经销'!L20</f>
      </c>
      <c r="M20" s="118">
        <f>'线下门店-直营'!M20+'线下门店-经销'!M20</f>
      </c>
      <c r="N20" s="118">
        <f>'线下门店-直营'!N20+'线下门店-经销'!N20</f>
      </c>
      <c r="O20" s="118">
        <f>SUM(C20:N20)</f>
      </c>
      <c r="P20" s="120">
        <v>0.025</v>
      </c>
      <c r="Q20" s="1"/>
      <c r="R20" s="1"/>
      <c r="S20" s="1"/>
      <c r="T20" s="1"/>
    </row>
    <row r="21">
      <c r="A21" s="1"/>
      <c r="B21" s="83" t="str">
        <v>成本合计（产品+物流）</v>
      </c>
      <c r="C21" s="115">
        <f>'线下门店-直营'!C21+'线下门店-经销'!C21</f>
      </c>
      <c r="D21" s="115">
        <f>'线下门店-直营'!D21+'线下门店-经销'!D21</f>
      </c>
      <c r="E21" s="115">
        <f>'线下门店-直营'!E21+'线下门店-经销'!E21</f>
      </c>
      <c r="F21" s="115">
        <f>'线下门店-直营'!F21+'线下门店-经销'!F21</f>
      </c>
      <c r="G21" s="115">
        <f>'线下门店-直营'!G21+'线下门店-经销'!G21</f>
      </c>
      <c r="H21" s="115">
        <f>'线下门店-直营'!H21+'线下门店-经销'!H21</f>
      </c>
      <c r="I21" s="115">
        <f>'线下门店-直营'!I21+'线下门店-经销'!I21</f>
      </c>
      <c r="J21" s="115">
        <f>'线下门店-直营'!J21+'线下门店-经销'!J21</f>
      </c>
      <c r="K21" s="115">
        <f>'线下门店-直营'!K21+'线下门店-经销'!K21</f>
      </c>
      <c r="L21" s="115">
        <f>'线下门店-直营'!L21+'线下门店-经销'!L21</f>
      </c>
      <c r="M21" s="115">
        <f>'线下门店-直营'!M21+'线下门店-经销'!M21</f>
      </c>
      <c r="N21" s="115">
        <f>'线下门店-直营'!N21+'线下门店-经销'!N21</f>
      </c>
      <c r="O21" s="115">
        <f>SUM(C21:N21)</f>
      </c>
      <c r="P21" s="116">
        <f>O21/$O$16</f>
      </c>
      <c r="Q21" s="1"/>
      <c r="R21" s="1"/>
      <c r="S21" s="1"/>
      <c r="T21" s="1"/>
    </row>
    <row r="22">
      <c r="A22" s="135"/>
      <c r="B22" s="98" t="str">
        <v>净毛利</v>
      </c>
      <c r="C22" s="98">
        <f>'线下门店-直营'!C22+'线下门店-经销'!C22</f>
      </c>
      <c r="D22" s="98">
        <f>'线下门店-直营'!D22+'线下门店-经销'!D22</f>
      </c>
      <c r="E22" s="98">
        <f>'线下门店-直营'!E22+'线下门店-经销'!E22</f>
      </c>
      <c r="F22" s="98">
        <f>'线下门店-直营'!F22+'线下门店-经销'!F22</f>
      </c>
      <c r="G22" s="98">
        <f>'线下门店-直营'!G22+'线下门店-经销'!G22</f>
      </c>
      <c r="H22" s="98">
        <f>'线下门店-直营'!H22+'线下门店-经销'!H22</f>
      </c>
      <c r="I22" s="98">
        <f>'线下门店-直营'!I22+'线下门店-经销'!I22</f>
      </c>
      <c r="J22" s="98">
        <f>'线下门店-直营'!J22+'线下门店-经销'!J22</f>
      </c>
      <c r="K22" s="98">
        <f>'线下门店-直营'!K22+'线下门店-经销'!K22</f>
      </c>
      <c r="L22" s="98">
        <f>'线下门店-直营'!L22+'线下门店-经销'!L22</f>
      </c>
      <c r="M22" s="98">
        <f>'线下门店-直营'!M22+'线下门店-经销'!M22</f>
      </c>
      <c r="N22" s="98">
        <f>'线下门店-直营'!N22+'线下门店-经销'!N22</f>
      </c>
      <c r="O22" s="98">
        <f>SUM(C22:N22)</f>
      </c>
      <c r="P22" s="162">
        <f>O22/$O$16</f>
      </c>
      <c r="Q22" s="1"/>
      <c r="R22" s="1"/>
      <c r="S22" s="1"/>
      <c r="T22" s="1"/>
    </row>
    <row r="23">
      <c r="A23" s="1"/>
      <c r="B23" s="102" t="str">
        <v>实际产品毛利率</v>
      </c>
      <c r="C23" s="165">
        <f>C19/C16</f>
      </c>
      <c r="D23" s="165">
        <f>D19/D16</f>
      </c>
      <c r="E23" s="165">
        <f>E19/E16</f>
      </c>
      <c r="F23" s="165">
        <f>F19/F16</f>
      </c>
      <c r="G23" s="165">
        <f>G19/G16</f>
      </c>
      <c r="H23" s="165">
        <f>H19/H16</f>
      </c>
      <c r="I23" s="165">
        <f>I19/I16</f>
      </c>
      <c r="J23" s="165">
        <f>J19/J16</f>
      </c>
      <c r="K23" s="165">
        <f>K19/K16</f>
      </c>
      <c r="L23" s="165">
        <f>L19/L16</f>
      </c>
      <c r="M23" s="165">
        <f>M19/M16</f>
      </c>
      <c r="N23" s="165">
        <f>N19/N16</f>
      </c>
      <c r="O23" s="165">
        <f>O19/O16</f>
      </c>
      <c r="P23" s="120"/>
      <c r="Q23" s="1"/>
      <c r="R23" s="1"/>
      <c r="S23" s="1"/>
      <c r="T23" s="1"/>
    </row>
    <row r="24">
      <c r="A24" s="1"/>
      <c r="B24" s="102" t="str">
        <v>合计毛利率</v>
      </c>
      <c r="C24" s="165">
        <f>IFERROR(1-C21/C16,0)</f>
      </c>
      <c r="D24" s="165">
        <f>IFERROR(1-D21/D16,0)</f>
      </c>
      <c r="E24" s="165">
        <f>IFERROR(1-E21/E16,0)</f>
      </c>
      <c r="F24" s="165">
        <f>IFERROR(1-F21/F16,0)</f>
      </c>
      <c r="G24" s="165">
        <f>IFERROR(1-G21/G16,0)</f>
      </c>
      <c r="H24" s="165">
        <f>IFERROR(1-H21/H16,0)</f>
      </c>
      <c r="I24" s="165">
        <f>IFERROR(1-I21/I16,0)</f>
      </c>
      <c r="J24" s="165">
        <f>IFERROR(1-J21/J16,0)</f>
      </c>
      <c r="K24" s="165">
        <f>IFERROR(1-K21/K16,0)</f>
      </c>
      <c r="L24" s="165">
        <f>IFERROR(1-L21/L16,0)</f>
      </c>
      <c r="M24" s="165">
        <f>IFERROR(1-M21/M16,0)</f>
      </c>
      <c r="N24" s="165">
        <f>IFERROR(1-N21/N16,0)</f>
      </c>
      <c r="O24" s="165">
        <f>IFERROR(1-O21/O16,0)</f>
      </c>
      <c r="P24" s="120"/>
      <c r="Q24" s="1"/>
      <c r="R24" s="1"/>
      <c r="S24" s="1"/>
      <c r="T24" s="1"/>
    </row>
    <row r="25">
      <c r="A25" s="1"/>
      <c r="B25" s="1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20"/>
      <c r="Q25" s="1"/>
      <c r="R25" s="1"/>
      <c r="S25" s="1"/>
      <c r="T25" s="1"/>
    </row>
    <row r="26">
      <c r="A26" s="1"/>
      <c r="B26" s="85" t="str">
        <v>品牌及内容费用</v>
      </c>
      <c r="C26" s="127">
        <f>'线下门店-直营'!C26+'线下门店-经销'!C26</f>
      </c>
      <c r="D26" s="127">
        <f>'线下门店-直营'!D26+'线下门店-经销'!D26</f>
      </c>
      <c r="E26" s="127">
        <f>'线下门店-直营'!E26+'线下门店-经销'!E26</f>
      </c>
      <c r="F26" s="127">
        <f>'线下门店-直营'!F26+'线下门店-经销'!F26</f>
      </c>
      <c r="G26" s="127">
        <f>'线下门店-直营'!G26+'线下门店-经销'!G26</f>
      </c>
      <c r="H26" s="127">
        <f>'线下门店-直营'!H26+'线下门店-经销'!H26</f>
      </c>
      <c r="I26" s="127">
        <f>'线下门店-直营'!I26+'线下门店-经销'!I26</f>
      </c>
      <c r="J26" s="127">
        <f>'线下门店-直营'!J26+'线下门店-经销'!J26</f>
      </c>
      <c r="K26" s="127">
        <f>'线下门店-直营'!K26+'线下门店-经销'!K26</f>
      </c>
      <c r="L26" s="127">
        <f>'线下门店-直营'!L26+'线下门店-经销'!L26</f>
      </c>
      <c r="M26" s="127">
        <f>'线下门店-直营'!M26+'线下门店-经销'!M26</f>
      </c>
      <c r="N26" s="127">
        <f>'线下门店-直营'!N26+'线下门店-经销'!N26</f>
      </c>
      <c r="O26" s="127">
        <f>SUM(C26:N26)</f>
      </c>
      <c r="P26" s="128">
        <f>O26/$O$16</f>
      </c>
      <c r="Q26" s="1"/>
      <c r="R26" s="1"/>
      <c r="S26" s="1"/>
      <c r="T26" s="1"/>
    </row>
    <row r="27">
      <c r="A27" s="118"/>
      <c r="B27" s="90" t="str">
        <v>展会</v>
      </c>
      <c r="C27" s="170">
        <f>'线下门店-直营'!C27+'线下门店-经销'!C27</f>
      </c>
      <c r="D27" s="170">
        <f>'线下门店-直营'!D27+'线下门店-经销'!D27</f>
      </c>
      <c r="E27" s="170">
        <f>'线下门店-直营'!E27+'线下门店-经销'!E27</f>
      </c>
      <c r="F27" s="170">
        <f>'线下门店-直营'!F27+'线下门店-经销'!F27</f>
      </c>
      <c r="G27" s="170">
        <f>'线下门店-直营'!G27+'线下门店-经销'!G27</f>
      </c>
      <c r="H27" s="170">
        <f>'线下门店-直营'!H27+'线下门店-经销'!H27</f>
      </c>
      <c r="I27" s="170">
        <f>'线下门店-直营'!I27+'线下门店-经销'!I27</f>
      </c>
      <c r="J27" s="170">
        <f>'线下门店-直营'!J27+'线下门店-经销'!J27</f>
      </c>
      <c r="K27" s="170">
        <f>'线下门店-直营'!K27+'线下门店-经销'!K27</f>
      </c>
      <c r="L27" s="170">
        <f>'线下门店-直营'!L27+'线下门店-经销'!L27</f>
      </c>
      <c r="M27" s="170">
        <f>'线下门店-直营'!M27+'线下门店-经销'!M27</f>
      </c>
      <c r="N27" s="170">
        <f>'线下门店-直营'!N27+'线下门店-经销'!N27</f>
      </c>
      <c r="O27" s="118">
        <f>SUM(C27:N27)</f>
      </c>
      <c r="P27" s="120">
        <f>O27/$O$16</f>
      </c>
      <c r="Q27" s="90"/>
      <c r="R27" s="1"/>
      <c r="S27" s="1"/>
      <c r="T27" s="1"/>
    </row>
    <row r="28">
      <c r="A28" s="118"/>
      <c r="B28" s="90" t="str">
        <v>品牌营销</v>
      </c>
      <c r="C28" s="170">
        <f>'线下门店-直营'!C28+'线下门店-经销'!C28</f>
      </c>
      <c r="D28" s="170">
        <f>'线下门店-直营'!D28+'线下门店-经销'!D28</f>
      </c>
      <c r="E28" s="170">
        <f>'线下门店-直营'!E28+'线下门店-经销'!E28</f>
      </c>
      <c r="F28" s="170">
        <f>'线下门店-直营'!F28+'线下门店-经销'!F28</f>
      </c>
      <c r="G28" s="170">
        <f>'线下门店-直营'!G28+'线下门店-经销'!G28</f>
      </c>
      <c r="H28" s="170">
        <f>'线下门店-直营'!H28+'线下门店-经销'!H28</f>
      </c>
      <c r="I28" s="170">
        <f>'线下门店-直营'!I28+'线下门店-经销'!I28</f>
      </c>
      <c r="J28" s="170">
        <f>'线下门店-直营'!J28+'线下门店-经销'!J28</f>
      </c>
      <c r="K28" s="170">
        <f>'线下门店-直营'!K28+'线下门店-经销'!K28</f>
      </c>
      <c r="L28" s="170">
        <f>'线下门店-直营'!L28+'线下门店-经销'!L28</f>
      </c>
      <c r="M28" s="170">
        <f>'线下门店-直营'!M28+'线下门店-经销'!M28</f>
      </c>
      <c r="N28" s="170">
        <f>'线下门店-直营'!N28+'线下门店-经销'!N28</f>
      </c>
      <c r="O28" s="118">
        <f>SUM(C28:N28)</f>
      </c>
      <c r="P28" s="120">
        <f>O28/$O$16</f>
      </c>
      <c r="Q28" s="90"/>
      <c r="R28" s="1"/>
      <c r="S28" s="1"/>
      <c r="T28" s="1"/>
    </row>
    <row r="29">
      <c r="A29" s="118"/>
      <c r="B29" s="90" t="str">
        <v>内容素材制作</v>
      </c>
      <c r="C29" s="170">
        <f>'线下门店-直营'!C29+'线下门店-经销'!C29</f>
      </c>
      <c r="D29" s="170">
        <f>'线下门店-直营'!D29+'线下门店-经销'!D29</f>
      </c>
      <c r="E29" s="170">
        <f>'线下门店-直营'!E29+'线下门店-经销'!E29</f>
      </c>
      <c r="F29" s="170">
        <f>'线下门店-直营'!F29+'线下门店-经销'!F29</f>
      </c>
      <c r="G29" s="170">
        <f>'线下门店-直营'!G29+'线下门店-经销'!G29</f>
      </c>
      <c r="H29" s="170">
        <f>'线下门店-直营'!H29+'线下门店-经销'!H29</f>
      </c>
      <c r="I29" s="170">
        <f>'线下门店-直营'!I29+'线下门店-经销'!I29</f>
      </c>
      <c r="J29" s="170">
        <f>'线下门店-直营'!J29+'线下门店-经销'!J29</f>
      </c>
      <c r="K29" s="170">
        <f>'线下门店-直营'!K29+'线下门店-经销'!K29</f>
      </c>
      <c r="L29" s="170">
        <f>'线下门店-直营'!L29+'线下门店-经销'!L29</f>
      </c>
      <c r="M29" s="170">
        <f>'线下门店-直营'!M29+'线下门店-经销'!M29</f>
      </c>
      <c r="N29" s="170">
        <f>'线下门店-直营'!N29+'线下门店-经销'!N29</f>
      </c>
      <c r="O29" s="118">
        <f>SUM(C29:N29)</f>
      </c>
      <c r="P29" s="120">
        <f>O29/$O$16</f>
      </c>
      <c r="Q29" s="1"/>
      <c r="R29" s="1"/>
      <c r="S29" s="1"/>
      <c r="T29" s="1"/>
    </row>
    <row r="30">
      <c r="A30" s="118"/>
      <c r="B30" s="90" t="str">
        <v>公关费用</v>
      </c>
      <c r="C30" s="170">
        <f>'线下门店-直营'!C30+'线下门店-经销'!C30</f>
      </c>
      <c r="D30" s="170">
        <f>'线下门店-直营'!D30+'线下门店-经销'!D30</f>
      </c>
      <c r="E30" s="170">
        <f>'线下门店-直营'!E30+'线下门店-经销'!E30</f>
      </c>
      <c r="F30" s="170">
        <f>'线下门店-直营'!F30+'线下门店-经销'!F30</f>
      </c>
      <c r="G30" s="170">
        <f>'线下门店-直营'!G30+'线下门店-经销'!G30</f>
      </c>
      <c r="H30" s="170">
        <f>'线下门店-直营'!H30+'线下门店-经销'!H30</f>
      </c>
      <c r="I30" s="170">
        <f>'线下门店-直营'!I30+'线下门店-经销'!I30</f>
      </c>
      <c r="J30" s="170">
        <f>'线下门店-直营'!J30+'线下门店-经销'!J30</f>
      </c>
      <c r="K30" s="170">
        <f>'线下门店-直营'!K30+'线下门店-经销'!K30</f>
      </c>
      <c r="L30" s="170">
        <f>'线下门店-直营'!L30+'线下门店-经销'!L30</f>
      </c>
      <c r="M30" s="170">
        <f>'线下门店-直营'!M30+'线下门店-经销'!M30</f>
      </c>
      <c r="N30" s="170">
        <f>'线下门店-直营'!N30+'线下门店-经销'!N30</f>
      </c>
      <c r="O30" s="118">
        <f>SUM(C30:N30)</f>
      </c>
      <c r="P30" s="120">
        <f>O30/$O$16</f>
      </c>
      <c r="Q30" s="1"/>
      <c r="R30" s="1"/>
      <c r="S30" s="1"/>
      <c r="T30" s="1"/>
    </row>
    <row r="31">
      <c r="A31" s="118"/>
      <c r="B31" s="90" t="str">
        <v>达人种草、样机及加热</v>
      </c>
      <c r="C31" s="170">
        <f>'线下门店-直营'!C31+'线下门店-经销'!C31</f>
      </c>
      <c r="D31" s="170">
        <f>'线下门店-直营'!D31+'线下门店-经销'!D31</f>
      </c>
      <c r="E31" s="170">
        <f>'线下门店-直营'!E31+'线下门店-经销'!E31</f>
      </c>
      <c r="F31" s="170">
        <f>'线下门店-直营'!F31+'线下门店-经销'!F31</f>
      </c>
      <c r="G31" s="170">
        <f>'线下门店-直营'!G31+'线下门店-经销'!G31</f>
      </c>
      <c r="H31" s="170">
        <f>'线下门店-直营'!H31+'线下门店-经销'!H31</f>
      </c>
      <c r="I31" s="170">
        <f>'线下门店-直营'!I31+'线下门店-经销'!I31</f>
      </c>
      <c r="J31" s="170">
        <f>'线下门店-直营'!J31+'线下门店-经销'!J31</f>
      </c>
      <c r="K31" s="170">
        <f>'线下门店-直营'!K31+'线下门店-经销'!K31</f>
      </c>
      <c r="L31" s="170">
        <f>'线下门店-直营'!L31+'线下门店-经销'!L31</f>
      </c>
      <c r="M31" s="170">
        <f>'线下门店-直营'!M31+'线下门店-经销'!M31</f>
      </c>
      <c r="N31" s="170">
        <f>'线下门店-直营'!N31+'线下门店-经销'!N31</f>
      </c>
      <c r="O31" s="118">
        <f>SUM(C31:N31)</f>
      </c>
      <c r="P31" s="120">
        <f>O31/$O$16</f>
      </c>
      <c r="Q31" s="1"/>
      <c r="R31" s="1"/>
      <c r="S31" s="1"/>
      <c r="T31" s="1"/>
    </row>
    <row outlineLevel="1" r="32">
      <c r="A32" s="118"/>
      <c r="B32" s="90" t="str">
        <v>展会(费率)</v>
      </c>
      <c r="C32" s="118">
        <f>'线下门店-直营'!C32+'线下门店-经销'!C32</f>
      </c>
      <c r="D32" s="118">
        <f>'线下门店-直营'!D32+'线下门店-经销'!D32</f>
      </c>
      <c r="E32" s="118">
        <f>'线下门店-直营'!E32+'线下门店-经销'!E32</f>
      </c>
      <c r="F32" s="118">
        <f>'线下门店-直营'!F32+'线下门店-经销'!F32</f>
      </c>
      <c r="G32" s="118">
        <f>'线下门店-直营'!G32+'线下门店-经销'!G32</f>
      </c>
      <c r="H32" s="118">
        <f>'线下门店-直营'!H32+'线下门店-经销'!H32</f>
      </c>
      <c r="I32" s="118">
        <f>'线下门店-直营'!I32+'线下门店-经销'!I32</f>
      </c>
      <c r="J32" s="118">
        <f>'线下门店-直营'!J32+'线下门店-经销'!J32</f>
      </c>
      <c r="K32" s="118">
        <f>'线下门店-直营'!K32+'线下门店-经销'!K32</f>
      </c>
      <c r="L32" s="118">
        <f>'线下门店-直营'!L32+'线下门店-经销'!L32</f>
      </c>
      <c r="M32" s="118">
        <f>'线下门店-直营'!M32+'线下门店-经销'!M32</f>
      </c>
      <c r="N32" s="118">
        <f>'线下门店-直营'!N32+'线下门店-经销'!N32</f>
      </c>
      <c r="O32" s="118"/>
      <c r="P32" s="120"/>
      <c r="Q32" s="1"/>
      <c r="R32" s="1"/>
      <c r="S32" s="1"/>
      <c r="T32" s="1"/>
    </row>
    <row outlineLevel="1" r="33">
      <c r="A33" s="118"/>
      <c r="B33" s="90" t="str">
        <v>品牌营销（费率）</v>
      </c>
      <c r="C33" s="118">
        <f>'线下门店-直营'!C33+'线下门店-经销'!C33</f>
      </c>
      <c r="D33" s="118">
        <f>'线下门店-直营'!D33+'线下门店-经销'!D33</f>
      </c>
      <c r="E33" s="118">
        <f>'线下门店-直营'!E33+'线下门店-经销'!E33</f>
      </c>
      <c r="F33" s="118">
        <f>'线下门店-直营'!F33+'线下门店-经销'!F33</f>
      </c>
      <c r="G33" s="118">
        <f>'线下门店-直营'!G33+'线下门店-经销'!G33</f>
      </c>
      <c r="H33" s="118">
        <f>'线下门店-直营'!H33+'线下门店-经销'!H33</f>
      </c>
      <c r="I33" s="118">
        <f>'线下门店-直营'!I33+'线下门店-经销'!I33</f>
      </c>
      <c r="J33" s="118">
        <f>'线下门店-直营'!J33+'线下门店-经销'!J33</f>
      </c>
      <c r="K33" s="118">
        <f>'线下门店-直营'!K33+'线下门店-经销'!K33</f>
      </c>
      <c r="L33" s="118">
        <f>'线下门店-直营'!L33+'线下门店-经销'!L33</f>
      </c>
      <c r="M33" s="118">
        <f>'线下门店-直营'!M33+'线下门店-经销'!M33</f>
      </c>
      <c r="N33" s="118">
        <f>'线下门店-直营'!N33+'线下门店-经销'!N33</f>
      </c>
      <c r="O33" s="118"/>
      <c r="P33" s="120"/>
      <c r="Q33" s="1"/>
      <c r="R33" s="1"/>
      <c r="S33" s="1"/>
      <c r="T33" s="1"/>
    </row>
    <row outlineLevel="1" r="34">
      <c r="A34" s="118"/>
      <c r="B34" s="90" t="str">
        <v>内容素材制作（费率）</v>
      </c>
      <c r="C34" s="118">
        <f>'线下门店-直营'!C34+'线下门店-经销'!C34</f>
      </c>
      <c r="D34" s="118">
        <f>'线下门店-直营'!D34+'线下门店-经销'!D34</f>
      </c>
      <c r="E34" s="118">
        <f>'线下门店-直营'!E34+'线下门店-经销'!E34</f>
      </c>
      <c r="F34" s="118">
        <f>'线下门店-直营'!F34+'线下门店-经销'!F34</f>
      </c>
      <c r="G34" s="118">
        <f>'线下门店-直营'!G34+'线下门店-经销'!G34</f>
      </c>
      <c r="H34" s="118">
        <f>'线下门店-直营'!H34+'线下门店-经销'!H34</f>
      </c>
      <c r="I34" s="118">
        <f>'线下门店-直营'!I34+'线下门店-经销'!I34</f>
      </c>
      <c r="J34" s="118">
        <f>'线下门店-直营'!J34+'线下门店-经销'!J34</f>
      </c>
      <c r="K34" s="118">
        <f>'线下门店-直营'!K34+'线下门店-经销'!K34</f>
      </c>
      <c r="L34" s="118">
        <f>'线下门店-直营'!L34+'线下门店-经销'!L34</f>
      </c>
      <c r="M34" s="118">
        <f>'线下门店-直营'!M34+'线下门店-经销'!M34</f>
      </c>
      <c r="N34" s="118">
        <f>'线下门店-直营'!N34+'线下门店-经销'!N34</f>
      </c>
      <c r="O34" s="118"/>
      <c r="P34" s="120"/>
      <c r="Q34" s="1"/>
      <c r="R34" s="1"/>
      <c r="S34" s="1"/>
      <c r="T34" s="1"/>
    </row>
    <row outlineLevel="1" r="35">
      <c r="A35" s="118"/>
      <c r="B35" s="90" t="str">
        <v>公关费用（费率）</v>
      </c>
      <c r="C35" s="118">
        <f>'线下门店-直营'!C35+'线下门店-经销'!C35</f>
      </c>
      <c r="D35" s="118">
        <f>'线下门店-直营'!D35+'线下门店-经销'!D35</f>
      </c>
      <c r="E35" s="118">
        <f>'线下门店-直营'!E35+'线下门店-经销'!E35</f>
      </c>
      <c r="F35" s="118">
        <f>'线下门店-直营'!F35+'线下门店-经销'!F35</f>
      </c>
      <c r="G35" s="118">
        <f>'线下门店-直营'!G35+'线下门店-经销'!G35</f>
      </c>
      <c r="H35" s="118">
        <f>'线下门店-直营'!H35+'线下门店-经销'!H35</f>
      </c>
      <c r="I35" s="118">
        <f>'线下门店-直营'!I35+'线下门店-经销'!I35</f>
      </c>
      <c r="J35" s="118">
        <f>'线下门店-直营'!J35+'线下门店-经销'!J35</f>
      </c>
      <c r="K35" s="118">
        <f>'线下门店-直营'!K35+'线下门店-经销'!K35</f>
      </c>
      <c r="L35" s="118">
        <f>'线下门店-直营'!L35+'线下门店-经销'!L35</f>
      </c>
      <c r="M35" s="118">
        <f>'线下门店-直营'!M35+'线下门店-经销'!M35</f>
      </c>
      <c r="N35" s="118">
        <f>'线下门店-直营'!N35+'线下门店-经销'!N35</f>
      </c>
      <c r="O35" s="118"/>
      <c r="P35" s="120"/>
      <c r="Q35" s="1"/>
      <c r="R35" s="1"/>
      <c r="S35" s="1"/>
      <c r="T35" s="1"/>
    </row>
    <row outlineLevel="1" r="36">
      <c r="A36" s="118"/>
      <c r="B36" s="90" t="str">
        <v>达人种草、样机及加热（费率）</v>
      </c>
      <c r="C36" s="171">
        <f>'线下门店-直营'!C36+'线下门店-经销'!C36</f>
      </c>
      <c r="D36" s="171">
        <f>'线下门店-直营'!D36+'线下门店-经销'!D36</f>
      </c>
      <c r="E36" s="171">
        <f>'线下门店-直营'!E36+'线下门店-经销'!E36</f>
      </c>
      <c r="F36" s="171">
        <f>'线下门店-直营'!F36+'线下门店-经销'!F36</f>
      </c>
      <c r="G36" s="171">
        <f>'线下门店-直营'!G36+'线下门店-经销'!G36</f>
      </c>
      <c r="H36" s="171">
        <f>'线下门店-直营'!H36+'线下门店-经销'!H36</f>
      </c>
      <c r="I36" s="171">
        <f>'线下门店-直营'!I36+'线下门店-经销'!I36</f>
      </c>
      <c r="J36" s="171">
        <f>'线下门店-直营'!J36+'线下门店-经销'!J36</f>
      </c>
      <c r="K36" s="171">
        <f>'线下门店-直营'!K36+'线下门店-经销'!K36</f>
      </c>
      <c r="L36" s="171">
        <f>'线下门店-直营'!L36+'线下门店-经销'!L36</f>
      </c>
      <c r="M36" s="171">
        <f>'线下门店-直营'!M36+'线下门店-经销'!M36</f>
      </c>
      <c r="N36" s="171">
        <f>'线下门店-直营'!N36+'线下门店-经销'!N36</f>
      </c>
      <c r="O36" s="118"/>
      <c r="P36" s="120"/>
      <c r="Q36" s="1"/>
      <c r="R36" s="1"/>
      <c r="S36" s="1"/>
      <c r="T36" s="1"/>
    </row>
    <row r="37">
      <c r="A37" s="1"/>
      <c r="B37" s="85" t="str">
        <v>效果广告</v>
      </c>
      <c r="C37" s="127">
        <f>'线下门店-直营'!C37+'线下门店-经销'!C37</f>
      </c>
      <c r="D37" s="127">
        <f>'线下门店-直营'!D37+'线下门店-经销'!D37</f>
      </c>
      <c r="E37" s="127">
        <f>'线下门店-直营'!E37+'线下门店-经销'!E37</f>
      </c>
      <c r="F37" s="127">
        <f>'线下门店-直营'!F37+'线下门店-经销'!F37</f>
      </c>
      <c r="G37" s="127">
        <f>'线下门店-直营'!G37+'线下门店-经销'!G37</f>
      </c>
      <c r="H37" s="127">
        <f>'线下门店-直营'!H37+'线下门店-经销'!H37</f>
      </c>
      <c r="I37" s="127">
        <f>'线下门店-直营'!I37+'线下门店-经销'!I37</f>
      </c>
      <c r="J37" s="127">
        <f>'线下门店-直营'!J37+'线下门店-经销'!J37</f>
      </c>
      <c r="K37" s="127">
        <f>'线下门店-直营'!K37+'线下门店-经销'!K37</f>
      </c>
      <c r="L37" s="127">
        <f>'线下门店-直营'!L37+'线下门店-经销'!L37</f>
      </c>
      <c r="M37" s="127">
        <f>'线下门店-直营'!M37+'线下门店-经销'!M37</f>
      </c>
      <c r="N37" s="127">
        <f>'线下门店-直营'!N37+'线下门店-经销'!N37</f>
      </c>
      <c r="O37" s="127">
        <f>SUM(C37:N37)</f>
      </c>
      <c r="P37" s="128">
        <f>O37/$O$16</f>
      </c>
      <c r="Q37" s="1"/>
      <c r="R37" s="1"/>
      <c r="S37" s="1"/>
      <c r="T37" s="1"/>
    </row>
    <row r="38">
      <c r="A38" s="118"/>
      <c r="B38" s="90" t="str">
        <v>站内投放</v>
      </c>
      <c r="C38" s="172">
        <f>'线下门店-直营'!C38+'线下门店-经销'!C38</f>
      </c>
      <c r="D38" s="172">
        <f>'线下门店-直营'!D38+'线下门店-经销'!D38</f>
      </c>
      <c r="E38" s="172">
        <f>'线下门店-直营'!E38+'线下门店-经销'!E38</f>
      </c>
      <c r="F38" s="172">
        <f>'线下门店-直营'!F38+'线下门店-经销'!F38</f>
      </c>
      <c r="G38" s="172">
        <f>'线下门店-直营'!G38+'线下门店-经销'!G38</f>
      </c>
      <c r="H38" s="172">
        <f>'线下门店-直营'!H38+'线下门店-经销'!H38</f>
      </c>
      <c r="I38" s="172">
        <f>'线下门店-直营'!I38+'线下门店-经销'!I38</f>
      </c>
      <c r="J38" s="172">
        <f>'线下门店-直营'!J38+'线下门店-经销'!J38</f>
      </c>
      <c r="K38" s="172">
        <f>'线下门店-直营'!K38+'线下门店-经销'!K38</f>
      </c>
      <c r="L38" s="172">
        <f>'线下门店-直营'!L38+'线下门店-经销'!L38</f>
      </c>
      <c r="M38" s="172">
        <f>'线下门店-直营'!M38+'线下门店-经销'!M38</f>
      </c>
      <c r="N38" s="172">
        <f>'线下门店-直营'!N38+'线下门店-经销'!N38</f>
      </c>
      <c r="O38" s="118">
        <f>SUM(C38:N38)</f>
      </c>
      <c r="P38" s="120">
        <f>O38/$O$16</f>
      </c>
      <c r="Q38" s="1" t="str">
        <v>投放填写</v>
      </c>
      <c r="R38" s="1"/>
      <c r="S38" s="1"/>
      <c r="T38" s="1"/>
    </row>
    <row r="39">
      <c r="A39" s="118"/>
      <c r="B39" s="90" t="str">
        <v>千川投放</v>
      </c>
      <c r="C39" s="172">
        <f>'线下门店-直营'!C39+'线下门店-经销'!C39</f>
      </c>
      <c r="D39" s="172">
        <f>'线下门店-直营'!D39+'线下门店-经销'!D39</f>
      </c>
      <c r="E39" s="172">
        <f>'线下门店-直营'!E39+'线下门店-经销'!E39</f>
      </c>
      <c r="F39" s="172">
        <f>'线下门店-直营'!F39+'线下门店-经销'!F39</f>
      </c>
      <c r="G39" s="172">
        <f>'线下门店-直营'!G39+'线下门店-经销'!G39</f>
      </c>
      <c r="H39" s="172">
        <f>'线下门店-直营'!H39+'线下门店-经销'!H39</f>
      </c>
      <c r="I39" s="172">
        <f>'线下门店-直营'!I39+'线下门店-经销'!I39</f>
      </c>
      <c r="J39" s="172">
        <f>'线下门店-直营'!J39+'线下门店-经销'!J39</f>
      </c>
      <c r="K39" s="172">
        <f>'线下门店-直营'!K39+'线下门店-经销'!K39</f>
      </c>
      <c r="L39" s="172">
        <f>'线下门店-直营'!L39+'线下门店-经销'!L39</f>
      </c>
      <c r="M39" s="172">
        <f>'线下门店-直营'!M39+'线下门店-经销'!M39</f>
      </c>
      <c r="N39" s="172">
        <f>'线下门店-直营'!N39+'线下门店-经销'!N39</f>
      </c>
      <c r="O39" s="118">
        <f>SUM(C39:N39)</f>
      </c>
      <c r="P39" s="120">
        <f>O39/$O$16</f>
      </c>
      <c r="Q39" s="1" t="str">
        <v>投放填写</v>
      </c>
      <c r="R39" s="1"/>
      <c r="S39" s="1"/>
      <c r="T39" s="1"/>
    </row>
    <row r="40">
      <c r="A40" s="118"/>
      <c r="B40" s="90" t="str">
        <v>站外投放</v>
      </c>
      <c r="C40" s="172">
        <f>'线下门店-直营'!C40+'线下门店-经销'!C40</f>
      </c>
      <c r="D40" s="172">
        <f>'线下门店-直营'!D40+'线下门店-经销'!D40</f>
      </c>
      <c r="E40" s="172">
        <f>'线下门店-直营'!E40+'线下门店-经销'!E40</f>
      </c>
      <c r="F40" s="172">
        <f>'线下门店-直营'!F40+'线下门店-经销'!F40</f>
      </c>
      <c r="G40" s="172">
        <f>'线下门店-直营'!G40+'线下门店-经销'!G40</f>
      </c>
      <c r="H40" s="172">
        <f>'线下门店-直营'!H40+'线下门店-经销'!H40</f>
      </c>
      <c r="I40" s="172">
        <f>'线下门店-直营'!I40+'线下门店-经销'!I40</f>
      </c>
      <c r="J40" s="172">
        <f>'线下门店-直营'!J40+'线下门店-经销'!J40</f>
      </c>
      <c r="K40" s="172">
        <f>'线下门店-直营'!K40+'线下门店-经销'!K40</f>
      </c>
      <c r="L40" s="172">
        <f>'线下门店-直营'!L40+'线下门店-经销'!L40</f>
      </c>
      <c r="M40" s="172">
        <f>'线下门店-直营'!M40+'线下门店-经销'!M40</f>
      </c>
      <c r="N40" s="172">
        <f>'线下门店-直营'!N40+'线下门店-经销'!N40</f>
      </c>
      <c r="O40" s="118">
        <f>SUM(C40:N40)</f>
      </c>
      <c r="P40" s="120">
        <f>O40/$O$16</f>
      </c>
      <c r="Q40" s="1" t="str">
        <v>投放填写</v>
      </c>
      <c r="R40" s="1"/>
      <c r="S40" s="1"/>
      <c r="T40" s="1"/>
    </row>
    <row outlineLevel="1" r="41">
      <c r="A41" s="118"/>
      <c r="B41" s="90" t="str">
        <v>站内投放（费率）</v>
      </c>
      <c r="C41" s="171">
        <f>'线下门店-直营'!C41+'线下门店-经销'!C41</f>
      </c>
      <c r="D41" s="171">
        <f>'线下门店-直营'!D41+'线下门店-经销'!D41</f>
      </c>
      <c r="E41" s="171">
        <f>'线下门店-直营'!E41+'线下门店-经销'!E41</f>
      </c>
      <c r="F41" s="171">
        <f>'线下门店-直营'!F41+'线下门店-经销'!F41</f>
      </c>
      <c r="G41" s="171">
        <f>'线下门店-直营'!G41+'线下门店-经销'!G41</f>
      </c>
      <c r="H41" s="171">
        <f>'线下门店-直营'!H41+'线下门店-经销'!H41</f>
      </c>
      <c r="I41" s="171">
        <f>'线下门店-直营'!I41+'线下门店-经销'!I41</f>
      </c>
      <c r="J41" s="171">
        <f>'线下门店-直营'!J41+'线下门店-经销'!J41</f>
      </c>
      <c r="K41" s="171">
        <f>'线下门店-直营'!K41+'线下门店-经销'!K41</f>
      </c>
      <c r="L41" s="171">
        <f>'线下门店-直营'!L41+'线下门店-经销'!L41</f>
      </c>
      <c r="M41" s="171">
        <f>'线下门店-直营'!M41+'线下门店-经销'!M41</f>
      </c>
      <c r="N41" s="171">
        <f>'线下门店-直营'!N41+'线下门店-经销'!N41</f>
      </c>
      <c r="O41" s="120">
        <f>O38/$O$16</f>
      </c>
      <c r="P41" s="1"/>
      <c r="Q41" s="1" t="str">
        <v>投放填写</v>
      </c>
      <c r="R41" s="1"/>
      <c r="S41" s="1"/>
      <c r="T41" s="1"/>
    </row>
    <row outlineLevel="1" r="42">
      <c r="A42" s="118"/>
      <c r="B42" s="90" t="str">
        <v>千川投放（费率）</v>
      </c>
      <c r="C42" s="171">
        <f>'线下门店-直营'!C42+'线下门店-经销'!C42</f>
      </c>
      <c r="D42" s="171">
        <f>'线下门店-直营'!D42+'线下门店-经销'!D42</f>
      </c>
      <c r="E42" s="171">
        <f>'线下门店-直营'!E42+'线下门店-经销'!E42</f>
      </c>
      <c r="F42" s="171">
        <f>'线下门店-直营'!F42+'线下门店-经销'!F42</f>
      </c>
      <c r="G42" s="171">
        <f>'线下门店-直营'!G42+'线下门店-经销'!G42</f>
      </c>
      <c r="H42" s="171">
        <f>'线下门店-直营'!H42+'线下门店-经销'!H42</f>
      </c>
      <c r="I42" s="171">
        <f>'线下门店-直营'!I42+'线下门店-经销'!I42</f>
      </c>
      <c r="J42" s="171">
        <f>'线下门店-直营'!J42+'线下门店-经销'!J42</f>
      </c>
      <c r="K42" s="171">
        <f>'线下门店-直营'!K42+'线下门店-经销'!K42</f>
      </c>
      <c r="L42" s="171">
        <f>'线下门店-直营'!L42+'线下门店-经销'!L42</f>
      </c>
      <c r="M42" s="171">
        <f>'线下门店-直营'!M42+'线下门店-经销'!M42</f>
      </c>
      <c r="N42" s="171">
        <f>'线下门店-直营'!N42+'线下门店-经销'!N42</f>
      </c>
      <c r="O42" s="120">
        <f>O39/$O$16</f>
      </c>
      <c r="P42" s="1"/>
      <c r="Q42" s="1" t="str">
        <v>投放填写</v>
      </c>
      <c r="R42" s="1"/>
      <c r="S42" s="1"/>
      <c r="T42" s="1"/>
    </row>
    <row outlineLevel="1" r="43">
      <c r="A43" s="118"/>
      <c r="B43" s="90" t="str">
        <v>站外投放（费率）</v>
      </c>
      <c r="C43" s="171">
        <f>'线下门店-直营'!C43+'线下门店-经销'!C43</f>
      </c>
      <c r="D43" s="171">
        <f>'线下门店-直营'!D43+'线下门店-经销'!D43</f>
      </c>
      <c r="E43" s="171">
        <f>'线下门店-直营'!E43+'线下门店-经销'!E43</f>
      </c>
      <c r="F43" s="171">
        <f>'线下门店-直营'!F43+'线下门店-经销'!F43</f>
      </c>
      <c r="G43" s="171">
        <f>'线下门店-直营'!G43+'线下门店-经销'!G43</f>
      </c>
      <c r="H43" s="171">
        <f>'线下门店-直营'!H43+'线下门店-经销'!H43</f>
      </c>
      <c r="I43" s="171">
        <f>'线下门店-直营'!I43+'线下门店-经销'!I43</f>
      </c>
      <c r="J43" s="171">
        <f>'线下门店-直营'!J43+'线下门店-经销'!J43</f>
      </c>
      <c r="K43" s="171">
        <f>'线下门店-直营'!K43+'线下门店-经销'!K43</f>
      </c>
      <c r="L43" s="171">
        <f>'线下门店-直营'!L43+'线下门店-经销'!L43</f>
      </c>
      <c r="M43" s="171">
        <f>'线下门店-直营'!M43+'线下门店-经销'!M43</f>
      </c>
      <c r="N43" s="171">
        <f>'线下门店-直营'!N43+'线下门店-经销'!N43</f>
      </c>
      <c r="O43" s="120">
        <f>O40/$O$16</f>
      </c>
      <c r="P43" s="1"/>
      <c r="Q43" s="1" t="str">
        <v>投放填写</v>
      </c>
      <c r="R43" s="1"/>
      <c r="S43" s="1"/>
      <c r="T43" s="1"/>
    </row>
    <row r="44">
      <c r="A44" s="1"/>
      <c r="B44" s="85" t="str">
        <v>线上营销费用</v>
      </c>
      <c r="C44" s="127">
        <f>'线下门店-直营'!C44+'线下门店-经销'!C44</f>
      </c>
      <c r="D44" s="127">
        <f>'线下门店-直营'!D44+'线下门店-经销'!D44</f>
      </c>
      <c r="E44" s="127">
        <f>'线下门店-直营'!E44+'线下门店-经销'!E44</f>
      </c>
      <c r="F44" s="127">
        <f>'线下门店-直营'!F44+'线下门店-经销'!F44</f>
      </c>
      <c r="G44" s="127">
        <f>'线下门店-直营'!G44+'线下门店-经销'!G44</f>
      </c>
      <c r="H44" s="127">
        <f>'线下门店-直营'!H44+'线下门店-经销'!H44</f>
      </c>
      <c r="I44" s="127">
        <f>'线下门店-直营'!I44+'线下门店-经销'!I44</f>
      </c>
      <c r="J44" s="127">
        <f>'线下门店-直营'!J44+'线下门店-经销'!J44</f>
      </c>
      <c r="K44" s="127">
        <f>'线下门店-直营'!K44+'线下门店-经销'!K44</f>
      </c>
      <c r="L44" s="127">
        <f>'线下门店-直营'!L44+'线下门店-经销'!L44</f>
      </c>
      <c r="M44" s="127">
        <f>'线下门店-直营'!M44+'线下门店-经销'!M44</f>
      </c>
      <c r="N44" s="127">
        <f>'线下门店-直营'!N44+'线下门店-经销'!N44</f>
      </c>
      <c r="O44" s="127">
        <f>SUM(C44:N44)</f>
      </c>
      <c r="P44" s="128">
        <f>O44/$O$16</f>
      </c>
      <c r="Q44" s="1"/>
      <c r="R44" s="1"/>
      <c r="S44" s="1"/>
      <c r="T44" s="1"/>
    </row>
    <row r="45">
      <c r="A45" s="118"/>
      <c r="B45" s="90" t="str">
        <v>直播费用</v>
      </c>
      <c r="C45" s="170">
        <f>'线下门店-直营'!C45+'线下门店-经销'!C45</f>
      </c>
      <c r="D45" s="170">
        <f>'线下门店-直营'!D45+'线下门店-经销'!D45</f>
      </c>
      <c r="E45" s="170">
        <f>'线下门店-直营'!E45+'线下门店-经销'!E45</f>
      </c>
      <c r="F45" s="170">
        <f>'线下门店-直营'!F45+'线下门店-经销'!F45</f>
      </c>
      <c r="G45" s="170">
        <f>'线下门店-直营'!G45+'线下门店-经销'!G45</f>
      </c>
      <c r="H45" s="170">
        <f>'线下门店-直营'!H45+'线下门店-经销'!H45</f>
      </c>
      <c r="I45" s="170">
        <f>'线下门店-直营'!I45+'线下门店-经销'!I45</f>
      </c>
      <c r="J45" s="170">
        <f>'线下门店-直营'!J45+'线下门店-经销'!J45</f>
      </c>
      <c r="K45" s="170">
        <f>'线下门店-直营'!K45+'线下门店-经销'!K45</f>
      </c>
      <c r="L45" s="170">
        <f>'线下门店-直营'!L45+'线下门店-经销'!L45</f>
      </c>
      <c r="M45" s="170">
        <f>'线下门店-直营'!M45+'线下门店-经销'!M45</f>
      </c>
      <c r="N45" s="170">
        <f>'线下门店-直营'!N45+'线下门店-经销'!N45</f>
      </c>
      <c r="O45" s="118">
        <f>SUM(C45:N45)</f>
      </c>
      <c r="P45" s="120">
        <v>0.01</v>
      </c>
      <c r="Q45" s="1" t="str">
        <v>达人填写</v>
      </c>
      <c r="R45" s="1"/>
      <c r="S45" s="1"/>
      <c r="T45" s="1"/>
    </row>
    <row r="46">
      <c r="A46" s="118"/>
      <c r="B46" s="90" t="str">
        <v>赠品费用</v>
      </c>
      <c r="C46" s="170">
        <f>'线下门店-直营'!C46+'线下门店-经销'!C46</f>
      </c>
      <c r="D46" s="170">
        <f>'线下门店-直营'!D46+'线下门店-经销'!D46</f>
      </c>
      <c r="E46" s="170">
        <f>'线下门店-直营'!E46+'线下门店-经销'!E46</f>
      </c>
      <c r="F46" s="170">
        <f>'线下门店-直营'!F46+'线下门店-经销'!F46</f>
      </c>
      <c r="G46" s="170">
        <f>'线下门店-直营'!G46+'线下门店-经销'!G46</f>
      </c>
      <c r="H46" s="170">
        <f>'线下门店-直营'!H46+'线下门店-经销'!H46</f>
      </c>
      <c r="I46" s="170">
        <f>'线下门店-直营'!I46+'线下门店-经销'!I46</f>
      </c>
      <c r="J46" s="170">
        <f>'线下门店-直营'!J46+'线下门店-经销'!J46</f>
      </c>
      <c r="K46" s="170">
        <f>'线下门店-直营'!K46+'线下门店-经销'!K46</f>
      </c>
      <c r="L46" s="170">
        <f>'线下门店-直营'!L46+'线下门店-经销'!L46</f>
      </c>
      <c r="M46" s="170">
        <f>'线下门店-直营'!M46+'线下门店-经销'!M46</f>
      </c>
      <c r="N46" s="170">
        <f>'线下门店-直营'!N46+'线下门店-经销'!N46</f>
      </c>
      <c r="O46" s="118">
        <f>SUM(C46:N46)</f>
      </c>
      <c r="P46" s="120">
        <v>0.02</v>
      </c>
      <c r="Q46" s="90" t="str">
        <v>渠道填写</v>
      </c>
      <c r="R46" s="1"/>
      <c r="S46" s="1"/>
      <c r="T46" s="1"/>
    </row>
    <row r="47">
      <c r="A47" s="1"/>
      <c r="B47" s="85" t="str">
        <v>线下市场费用</v>
      </c>
      <c r="C47" s="127">
        <f>'线下门店-直营'!C47+'线下门店-经销'!C47</f>
      </c>
      <c r="D47" s="127">
        <f>'线下门店-直营'!D47+'线下门店-经销'!D47</f>
      </c>
      <c r="E47" s="127">
        <f>'线下门店-直营'!E47+'线下门店-经销'!E47</f>
      </c>
      <c r="F47" s="127">
        <f>'线下门店-直营'!F47+'线下门店-经销'!F47</f>
      </c>
      <c r="G47" s="127">
        <f>'线下门店-直营'!G47+'线下门店-经销'!G47</f>
      </c>
      <c r="H47" s="127">
        <f>'线下门店-直营'!H47+'线下门店-经销'!H47</f>
      </c>
      <c r="I47" s="127">
        <f>'线下门店-直营'!I47+'线下门店-经销'!I47</f>
      </c>
      <c r="J47" s="127">
        <f>'线下门店-直营'!J47+'线下门店-经销'!J47</f>
      </c>
      <c r="K47" s="127">
        <f>'线下门店-直营'!K47+'线下门店-经销'!K47</f>
      </c>
      <c r="L47" s="127">
        <f>'线下门店-直营'!L47+'线下门店-经销'!L47</f>
      </c>
      <c r="M47" s="127">
        <f>'线下门店-直营'!M47+'线下门店-经销'!M47</f>
      </c>
      <c r="N47" s="127">
        <f>'线下门店-直营'!N47+'线下门店-经销'!N47</f>
      </c>
      <c r="O47" s="127">
        <f>SUM(C47:N47)</f>
      </c>
      <c r="P47" s="128">
        <f>O47/$O$16</f>
      </c>
      <c r="Q47" s="1"/>
      <c r="R47" s="1"/>
      <c r="S47" s="1"/>
      <c r="T47" s="1"/>
    </row>
    <row r="48">
      <c r="A48" s="118"/>
      <c r="B48" s="90" t="str">
        <v>线下渠道展陈、促销费用</v>
      </c>
      <c r="C48" s="170">
        <f>'线下门店-直营'!C48+'线下门店-经销'!C48</f>
      </c>
      <c r="D48" s="170">
        <f>'线下门店-直营'!D48+'线下门店-经销'!D48</f>
      </c>
      <c r="E48" s="170">
        <f>'线下门店-直营'!E48+'线下门店-经销'!E48</f>
      </c>
      <c r="F48" s="170">
        <f>'线下门店-直营'!F48+'线下门店-经销'!F48</f>
      </c>
      <c r="G48" s="170">
        <f>'线下门店-直营'!G48+'线下门店-经销'!G48</f>
      </c>
      <c r="H48" s="170">
        <f>'线下门店-直营'!H48+'线下门店-经销'!H48</f>
      </c>
      <c r="I48" s="170">
        <f>'线下门店-直营'!I48+'线下门店-经销'!I48</f>
      </c>
      <c r="J48" s="170">
        <f>'线下门店-直营'!J48+'线下门店-经销'!J48</f>
      </c>
      <c r="K48" s="170">
        <f>'线下门店-直营'!K48+'线下门店-经销'!K48</f>
      </c>
      <c r="L48" s="170">
        <f>'线下门店-直营'!L48+'线下门店-经销'!L48</f>
      </c>
      <c r="M48" s="170">
        <f>'线下门店-直营'!M48+'线下门店-经销'!M48</f>
      </c>
      <c r="N48" s="170">
        <f>'线下门店-直营'!N48+'线下门店-经销'!N48</f>
      </c>
      <c r="O48" s="118">
        <f>SUM(C48:N48)</f>
      </c>
      <c r="P48" s="120">
        <f>O48/$O$16</f>
      </c>
      <c r="Q48" s="90" t="str">
        <v>线下门店</v>
      </c>
      <c r="R48" s="1"/>
      <c r="S48" s="1"/>
      <c r="T48" s="1"/>
    </row>
    <row r="49">
      <c r="A49" s="118"/>
      <c r="B49" s="90" t="str">
        <v>租金+物业+水电</v>
      </c>
      <c r="C49" s="170">
        <f>'线下门店-直营'!C49+'线下门店-经销'!C49</f>
      </c>
      <c r="D49" s="170">
        <f>'线下门店-直营'!D49+'线下门店-经销'!D49</f>
      </c>
      <c r="E49" s="170">
        <f>'线下门店-直营'!E49+'线下门店-经销'!E49</f>
      </c>
      <c r="F49" s="170">
        <f>'线下门店-直营'!F49+'线下门店-经销'!F49</f>
      </c>
      <c r="G49" s="170">
        <f>'线下门店-直营'!G49+'线下门店-经销'!G49</f>
      </c>
      <c r="H49" s="170">
        <f>'线下门店-直营'!H49+'线下门店-经销'!H49</f>
      </c>
      <c r="I49" s="170">
        <f>'线下门店-直营'!I49+'线下门店-经销'!I49</f>
      </c>
      <c r="J49" s="170">
        <f>'线下门店-直营'!J49+'线下门店-经销'!J49</f>
      </c>
      <c r="K49" s="170">
        <f>'线下门店-直营'!K49+'线下门店-经销'!K49</f>
      </c>
      <c r="L49" s="170">
        <f>'线下门店-直营'!L49+'线下门店-经销'!L49</f>
      </c>
      <c r="M49" s="170">
        <f>'线下门店-直营'!M49+'线下门店-经销'!M49</f>
      </c>
      <c r="N49" s="170">
        <f>'线下门店-直营'!N49+'线下门店-经销'!N49</f>
      </c>
      <c r="O49" s="118">
        <f>SUM(C49:N49)</f>
      </c>
      <c r="P49" s="120">
        <f>O49/$O$16</f>
      </c>
      <c r="Q49" s="90" t="str">
        <v>线下门店</v>
      </c>
      <c r="R49" s="1"/>
      <c r="S49" s="1"/>
      <c r="T49" s="1"/>
    </row>
    <row r="50">
      <c r="A50" s="118"/>
      <c r="B50" s="90" t="str">
        <v>门店人工</v>
      </c>
      <c r="C50" s="170">
        <f>'线下门店-直营'!C50+'线下门店-经销'!C50</f>
      </c>
      <c r="D50" s="170">
        <f>'线下门店-直营'!D50+'线下门店-经销'!D50</f>
      </c>
      <c r="E50" s="170">
        <f>'线下门店-直营'!E50+'线下门店-经销'!E50</f>
      </c>
      <c r="F50" s="170">
        <f>'线下门店-直营'!F50+'线下门店-经销'!F50</f>
      </c>
      <c r="G50" s="170">
        <f>'线下门店-直营'!G50+'线下门店-经销'!G50</f>
      </c>
      <c r="H50" s="170">
        <f>'线下门店-直营'!H50+'线下门店-经销'!H50</f>
      </c>
      <c r="I50" s="170">
        <f>'线下门店-直营'!I50+'线下门店-经销'!I50</f>
      </c>
      <c r="J50" s="170">
        <f>'线下门店-直营'!J50+'线下门店-经销'!J50</f>
      </c>
      <c r="K50" s="170">
        <f>'线下门店-直营'!K50+'线下门店-经销'!K50</f>
      </c>
      <c r="L50" s="170">
        <f>'线下门店-直营'!L50+'线下门店-经销'!L50</f>
      </c>
      <c r="M50" s="170">
        <f>'线下门店-直营'!M50+'线下门店-经销'!M50</f>
      </c>
      <c r="N50" s="170">
        <f>'线下门店-直营'!N50+'线下门店-经销'!N50</f>
      </c>
      <c r="O50" s="118">
        <f>SUM(C50:N50)</f>
      </c>
      <c r="P50" s="120">
        <f>O50/$O$16</f>
      </c>
      <c r="Q50" s="90" t="str">
        <v>线下门店</v>
      </c>
      <c r="R50" s="1"/>
      <c r="S50" s="1"/>
      <c r="T50" s="1"/>
    </row>
    <row r="51">
      <c r="A51" s="1"/>
      <c r="B51" s="90" t="str">
        <v>门店展陈装修等其他</v>
      </c>
      <c r="C51" s="170">
        <f>'线下门店-直营'!C51+'线下门店-经销'!C51</f>
      </c>
      <c r="D51" s="170">
        <f>'线下门店-直营'!D51+'线下门店-经销'!D51</f>
      </c>
      <c r="E51" s="170">
        <f>'线下门店-直营'!E51+'线下门店-经销'!E51</f>
      </c>
      <c r="F51" s="170">
        <f>'线下门店-直营'!F51+'线下门店-经销'!F51</f>
      </c>
      <c r="G51" s="170">
        <f>'线下门店-直营'!G51+'线下门店-经销'!G51</f>
      </c>
      <c r="H51" s="170">
        <f>'线下门店-直营'!H51+'线下门店-经销'!H51</f>
      </c>
      <c r="I51" s="170">
        <f>'线下门店-直营'!I51+'线下门店-经销'!I51</f>
      </c>
      <c r="J51" s="170">
        <f>'线下门店-直营'!J51+'线下门店-经销'!J51</f>
      </c>
      <c r="K51" s="170">
        <f>'线下门店-直营'!K51+'线下门店-经销'!K51</f>
      </c>
      <c r="L51" s="170">
        <f>'线下门店-直营'!L51+'线下门店-经销'!L51</f>
      </c>
      <c r="M51" s="170">
        <f>'线下门店-直营'!M51+'线下门店-经销'!M51</f>
      </c>
      <c r="N51" s="170">
        <f>'线下门店-直营'!N51+'线下门店-经销'!N51</f>
      </c>
      <c r="O51" s="118">
        <f>SUM(C51:N51)</f>
      </c>
      <c r="P51" s="120">
        <f>O51/$O$16</f>
      </c>
      <c r="Q51" s="225" t="str">
        <v>空白</v>
      </c>
      <c r="R51" s="1"/>
      <c r="S51" s="1"/>
      <c r="T51" s="1"/>
    </row>
    <row r="52">
      <c r="A52" s="1"/>
      <c r="B52" s="83" t="str">
        <v>市场投入费用</v>
      </c>
      <c r="C52" s="115">
        <f>'线下门店-直营'!C52+'线下门店-经销'!C52</f>
      </c>
      <c r="D52" s="115">
        <f>'线下门店-直营'!D52+'线下门店-经销'!D52</f>
      </c>
      <c r="E52" s="115">
        <f>'线下门店-直营'!E52+'线下门店-经销'!E52</f>
      </c>
      <c r="F52" s="115">
        <f>'线下门店-直营'!F52+'线下门店-经销'!F52</f>
      </c>
      <c r="G52" s="115">
        <f>'线下门店-直营'!G52+'线下门店-经销'!G52</f>
      </c>
      <c r="H52" s="115">
        <f>'线下门店-直营'!H52+'线下门店-经销'!H52</f>
      </c>
      <c r="I52" s="115">
        <f>'线下门店-直营'!I52+'线下门店-经销'!I52</f>
      </c>
      <c r="J52" s="115">
        <f>'线下门店-直营'!J52+'线下门店-经销'!J52</f>
      </c>
      <c r="K52" s="115">
        <f>'线下门店-直营'!K52+'线下门店-经销'!K52</f>
      </c>
      <c r="L52" s="115">
        <f>'线下门店-直营'!L52+'线下门店-经销'!L52</f>
      </c>
      <c r="M52" s="115">
        <f>'线下门店-直营'!M52+'线下门店-经销'!M52</f>
      </c>
      <c r="N52" s="115">
        <f>'线下门店-直营'!N52+'线下门店-经销'!N52</f>
      </c>
      <c r="O52" s="115">
        <f>SUM(C52:N52)</f>
      </c>
      <c r="P52" s="116">
        <f>O52/$O$16</f>
      </c>
      <c r="Q52" s="1"/>
      <c r="R52" s="1"/>
      <c r="S52" s="1"/>
      <c r="T52" s="1"/>
    </row>
    <row r="53">
      <c r="A53" s="118"/>
      <c r="B53" s="90" t="str">
        <v>平台佣金</v>
      </c>
      <c r="C53" s="170">
        <f>'线下门店-直营'!C53+'线下门店-经销'!C53</f>
      </c>
      <c r="D53" s="170">
        <f>'线下门店-直营'!D53+'线下门店-经销'!D53</f>
      </c>
      <c r="E53" s="170">
        <f>'线下门店-直营'!E53+'线下门店-经销'!E53</f>
      </c>
      <c r="F53" s="170">
        <f>'线下门店-直营'!F53+'线下门店-经销'!F53</f>
      </c>
      <c r="G53" s="170">
        <f>'线下门店-直营'!G53+'线下门店-经销'!G53</f>
      </c>
      <c r="H53" s="170">
        <f>'线下门店-直营'!H53+'线下门店-经销'!H53</f>
      </c>
      <c r="I53" s="170">
        <f>'线下门店-直营'!I53+'线下门店-经销'!I53</f>
      </c>
      <c r="J53" s="170">
        <f>'线下门店-直营'!J53+'线下门店-经销'!J53</f>
      </c>
      <c r="K53" s="170">
        <f>'线下门店-直营'!K53+'线下门店-经销'!K53</f>
      </c>
      <c r="L53" s="170">
        <f>'线下门店-直营'!L53+'线下门店-经销'!L53</f>
      </c>
      <c r="M53" s="170">
        <f>'线下门店-直营'!M53+'线下门店-经销'!M53</f>
      </c>
      <c r="N53" s="170">
        <f>'线下门店-直营'!N53+'线下门店-经销'!N53</f>
      </c>
      <c r="O53" s="118">
        <f>SUM(C53:N53)</f>
      </c>
      <c r="P53" s="120">
        <v>0</v>
      </c>
      <c r="Q53" s="1"/>
      <c r="R53" s="1"/>
      <c r="S53" s="1"/>
      <c r="T53" s="1"/>
    </row>
    <row r="54">
      <c r="A54" s="118"/>
      <c r="B54" s="90" t="str">
        <v>平台其他费用</v>
      </c>
      <c r="C54" s="170">
        <f>'线下门店-直营'!C54+'线下门店-经销'!C54</f>
      </c>
      <c r="D54" s="170">
        <f>'线下门店-直营'!D54+'线下门店-经销'!D54</f>
      </c>
      <c r="E54" s="170">
        <f>'线下门店-直营'!E54+'线下门店-经销'!E54</f>
      </c>
      <c r="F54" s="170">
        <f>'线下门店-直营'!F54+'线下门店-经销'!F54</f>
      </c>
      <c r="G54" s="170">
        <f>'线下门店-直营'!G54+'线下门店-经销'!G54</f>
      </c>
      <c r="H54" s="170">
        <f>'线下门店-直营'!H54+'线下门店-经销'!H54</f>
      </c>
      <c r="I54" s="170">
        <f>'线下门店-直营'!I54+'线下门店-经销'!I54</f>
      </c>
      <c r="J54" s="170">
        <f>'线下门店-直营'!J54+'线下门店-经销'!J54</f>
      </c>
      <c r="K54" s="170">
        <f>'线下门店-直营'!K54+'线下门店-经销'!K54</f>
      </c>
      <c r="L54" s="170">
        <f>'线下门店-直营'!L54+'线下门店-经销'!L54</f>
      </c>
      <c r="M54" s="170">
        <f>'线下门店-直营'!M54+'线下门店-经销'!M54</f>
      </c>
      <c r="N54" s="170">
        <f>'线下门店-直营'!N54+'线下门店-经销'!N54</f>
      </c>
      <c r="O54" s="118">
        <f>SUM(C54:N54)</f>
      </c>
      <c r="P54" s="120">
        <v>0</v>
      </c>
      <c r="Q54" s="1"/>
      <c r="R54" s="1"/>
      <c r="S54" s="1"/>
      <c r="T54" s="1"/>
    </row>
    <row r="55">
      <c r="A55" s="118"/>
      <c r="B55" s="90" t="str">
        <v>售后费用</v>
      </c>
      <c r="C55" s="170">
        <f>'线下门店-直营'!C55+'线下门店-经销'!C55</f>
      </c>
      <c r="D55" s="170">
        <f>'线下门店-直营'!D55+'线下门店-经销'!D55</f>
      </c>
      <c r="E55" s="170">
        <f>'线下门店-直营'!E55+'线下门店-经销'!E55</f>
      </c>
      <c r="F55" s="170">
        <f>'线下门店-直营'!F55+'线下门店-经销'!F55</f>
      </c>
      <c r="G55" s="170">
        <f>'线下门店-直营'!G55+'线下门店-经销'!G55</f>
      </c>
      <c r="H55" s="170">
        <f>'线下门店-直营'!H55+'线下门店-经销'!H55</f>
      </c>
      <c r="I55" s="170">
        <f>'线下门店-直营'!I55+'线下门店-经销'!I55</f>
      </c>
      <c r="J55" s="170">
        <f>'线下门店-直营'!J55+'线下门店-经销'!J55</f>
      </c>
      <c r="K55" s="170">
        <f>'线下门店-直营'!K55+'线下门店-经销'!K55</f>
      </c>
      <c r="L55" s="170">
        <f>'线下门店-直营'!L55+'线下门店-经销'!L55</f>
      </c>
      <c r="M55" s="170">
        <f>'线下门店-直营'!M55+'线下门店-经销'!M55</f>
      </c>
      <c r="N55" s="170">
        <f>'线下门店-直营'!N55+'线下门店-经销'!N55</f>
      </c>
      <c r="O55" s="118">
        <f>SUM(C55:N55)</f>
      </c>
      <c r="P55" s="120">
        <v>0.03</v>
      </c>
      <c r="Q55" s="1"/>
      <c r="R55" s="1"/>
      <c r="S55" s="1"/>
      <c r="T55" s="1"/>
    </row>
    <row r="56">
      <c r="A56" s="118"/>
      <c r="B56" s="90" t="str">
        <v>短信及店铺软件</v>
      </c>
      <c r="C56" s="170">
        <f>'线下门店-直营'!C56+'线下门店-经销'!C56</f>
      </c>
      <c r="D56" s="170">
        <f>'线下门店-直营'!D56+'线下门店-经销'!D56</f>
      </c>
      <c r="E56" s="170">
        <f>'线下门店-直营'!E56+'线下门店-经销'!E56</f>
      </c>
      <c r="F56" s="170">
        <f>'线下门店-直营'!F56+'线下门店-经销'!F56</f>
      </c>
      <c r="G56" s="170">
        <f>'线下门店-直营'!G56+'线下门店-经销'!G56</f>
      </c>
      <c r="H56" s="170">
        <f>'线下门店-直营'!H56+'线下门店-经销'!H56</f>
      </c>
      <c r="I56" s="170">
        <f>'线下门店-直营'!I56+'线下门店-经销'!I56</f>
      </c>
      <c r="J56" s="170">
        <f>'线下门店-直营'!J56+'线下门店-经销'!J56</f>
      </c>
      <c r="K56" s="170">
        <f>'线下门店-直营'!K56+'线下门店-经销'!K56</f>
      </c>
      <c r="L56" s="170">
        <f>'线下门店-直营'!L56+'线下门店-经销'!L56</f>
      </c>
      <c r="M56" s="170">
        <f>'线下门店-直营'!M56+'线下门店-经销'!M56</f>
      </c>
      <c r="N56" s="170">
        <f>'线下门店-直营'!N56+'线下门店-经销'!N56</f>
      </c>
      <c r="O56" s="118">
        <f>SUM(C56:N56)</f>
      </c>
      <c r="P56" s="120">
        <v>0</v>
      </c>
      <c r="Q56" s="1"/>
      <c r="R56" s="1"/>
      <c r="S56" s="1"/>
      <c r="T56" s="1"/>
    </row>
    <row r="57">
      <c r="A57" s="118"/>
      <c r="B57" s="90" t="str">
        <v>其他运营费用（咨询调研等）</v>
      </c>
      <c r="C57" s="170">
        <f>'线下门店-直营'!C57+'线下门店-经销'!C57</f>
      </c>
      <c r="D57" s="170">
        <f>'线下门店-直营'!D57+'线下门店-经销'!D57</f>
      </c>
      <c r="E57" s="170">
        <f>'线下门店-直营'!E57+'线下门店-经销'!E57</f>
      </c>
      <c r="F57" s="170">
        <f>'线下门店-直营'!F57+'线下门店-经销'!F57</f>
      </c>
      <c r="G57" s="170">
        <f>'线下门店-直营'!G57+'线下门店-经销'!G57</f>
      </c>
      <c r="H57" s="170">
        <f>'线下门店-直营'!H57+'线下门店-经销'!H57</f>
      </c>
      <c r="I57" s="170">
        <f>'线下门店-直营'!I57+'线下门店-经销'!I57</f>
      </c>
      <c r="J57" s="170">
        <f>'线下门店-直营'!J57+'线下门店-经销'!J57</f>
      </c>
      <c r="K57" s="170">
        <f>'线下门店-直营'!K57+'线下门店-经销'!K57</f>
      </c>
      <c r="L57" s="170">
        <f>'线下门店-直营'!L57+'线下门店-经销'!L57</f>
      </c>
      <c r="M57" s="170">
        <f>'线下门店-直营'!M57+'线下门店-经销'!M57</f>
      </c>
      <c r="N57" s="170">
        <f>'线下门店-直营'!N57+'线下门店-经销'!N57</f>
      </c>
      <c r="O57" s="118">
        <f>SUM(C57:N57)</f>
      </c>
      <c r="P57" s="120">
        <f>O57/$O$16</f>
      </c>
      <c r="Q57" s="90"/>
      <c r="R57" s="1"/>
      <c r="S57" s="1"/>
      <c r="T57" s="1"/>
    </row>
    <row r="58">
      <c r="A58" s="1"/>
      <c r="B58" s="83" t="str">
        <v>店铺运营费用</v>
      </c>
      <c r="C58" s="115">
        <f>'线下门店-直营'!C58+'线下门店-经销'!C58</f>
      </c>
      <c r="D58" s="115">
        <f>'线下门店-直营'!D58+'线下门店-经销'!D58</f>
      </c>
      <c r="E58" s="115">
        <f>'线下门店-直营'!E58+'线下门店-经销'!E58</f>
      </c>
      <c r="F58" s="115">
        <f>'线下门店-直营'!F58+'线下门店-经销'!F58</f>
      </c>
      <c r="G58" s="115">
        <f>'线下门店-直营'!G58+'线下门店-经销'!G58</f>
      </c>
      <c r="H58" s="115">
        <f>'线下门店-直营'!H58+'线下门店-经销'!H58</f>
      </c>
      <c r="I58" s="115">
        <f>'线下门店-直营'!I58+'线下门店-经销'!I58</f>
      </c>
      <c r="J58" s="115">
        <f>'线下门店-直营'!J58+'线下门店-经销'!J58</f>
      </c>
      <c r="K58" s="115">
        <f>'线下门店-直营'!K58+'线下门店-经销'!K58</f>
      </c>
      <c r="L58" s="115">
        <f>'线下门店-直营'!L58+'线下门店-经销'!L58</f>
      </c>
      <c r="M58" s="115">
        <f>'线下门店-直营'!M58+'线下门店-经销'!M58</f>
      </c>
      <c r="N58" s="115">
        <f>'线下门店-直营'!N58+'线下门店-经销'!N58</f>
      </c>
      <c r="O58" s="115">
        <f>SUM(C58:N58)</f>
      </c>
      <c r="P58" s="116">
        <f>O58/$O$16</f>
      </c>
      <c r="Q58" s="1"/>
      <c r="R58" s="1"/>
      <c r="S58" s="1"/>
      <c r="T58" s="1"/>
    </row>
    <row r="59">
      <c r="A59" s="135"/>
      <c r="B59" s="98" t="str">
        <v>A&amp;P 合计数</v>
      </c>
      <c r="C59" s="98">
        <f>'线下门店-直营'!C59+'线下门店-经销'!C59</f>
      </c>
      <c r="D59" s="98">
        <f>'线下门店-直营'!D59+'线下门店-经销'!D59</f>
      </c>
      <c r="E59" s="98">
        <f>'线下门店-直营'!E59+'线下门店-经销'!E59</f>
      </c>
      <c r="F59" s="98">
        <f>'线下门店-直营'!F59+'线下门店-经销'!F59</f>
      </c>
      <c r="G59" s="98">
        <f>'线下门店-直营'!G59+'线下门店-经销'!G59</f>
      </c>
      <c r="H59" s="98">
        <f>'线下门店-直营'!H59+'线下门店-经销'!H59</f>
      </c>
      <c r="I59" s="98">
        <f>'线下门店-直营'!I59+'线下门店-经销'!I59</f>
      </c>
      <c r="J59" s="98">
        <f>'线下门店-直营'!J59+'线下门店-经销'!J59</f>
      </c>
      <c r="K59" s="98">
        <f>'线下门店-直营'!K59+'线下门店-经销'!K59</f>
      </c>
      <c r="L59" s="98">
        <f>'线下门店-直营'!L59+'线下门店-经销'!L59</f>
      </c>
      <c r="M59" s="98">
        <f>'线下门店-直营'!M59+'线下门店-经销'!M59</f>
      </c>
      <c r="N59" s="98">
        <f>'线下门店-直营'!N59+'线下门店-经销'!N59</f>
      </c>
      <c r="O59" s="98">
        <f>SUM(C59:N59)</f>
      </c>
      <c r="P59" s="162">
        <f>O59/$O$16</f>
      </c>
      <c r="Q59" s="135"/>
      <c r="R59" s="175"/>
      <c r="S59" s="1"/>
      <c r="T59" s="1"/>
    </row>
    <row r="60">
      <c r="A60" s="135"/>
      <c r="B60" s="98" t="str">
        <v>店铺利润</v>
      </c>
      <c r="C60" s="98">
        <f>'线下门店-直营'!C60+'线下门店-经销'!C60</f>
      </c>
      <c r="D60" s="98">
        <f>'线下门店-直营'!D60+'线下门店-经销'!D60</f>
      </c>
      <c r="E60" s="98">
        <f>'线下门店-直营'!E60+'线下门店-经销'!E60</f>
      </c>
      <c r="F60" s="98">
        <f>'线下门店-直营'!F60+'线下门店-经销'!F60</f>
      </c>
      <c r="G60" s="98">
        <f>'线下门店-直营'!G60+'线下门店-经销'!G60</f>
      </c>
      <c r="H60" s="98">
        <f>'线下门店-直营'!H60+'线下门店-经销'!H60</f>
      </c>
      <c r="I60" s="98">
        <f>'线下门店-直营'!I60+'线下门店-经销'!I60</f>
      </c>
      <c r="J60" s="98">
        <f>'线下门店-直营'!J60+'线下门店-经销'!J60</f>
      </c>
      <c r="K60" s="98">
        <f>'线下门店-直营'!K60+'线下门店-经销'!K60</f>
      </c>
      <c r="L60" s="98">
        <f>'线下门店-直营'!L60+'线下门店-经销'!L60</f>
      </c>
      <c r="M60" s="98">
        <f>'线下门店-直营'!M60+'线下门店-经销'!M60</f>
      </c>
      <c r="N60" s="98">
        <f>'线下门店-直营'!N60+'线下门店-经销'!N60</f>
      </c>
      <c r="O60" s="98">
        <f>SUM(C60:N60)</f>
      </c>
      <c r="P60" s="162">
        <f>O60/$O$16</f>
      </c>
      <c r="Q60" s="135"/>
      <c r="R60" s="182"/>
      <c r="S60" s="1"/>
      <c r="T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>
      <c r="A62" s="1"/>
      <c r="B62" s="1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>
        <f>O60-'线下门店-直营'!O60-'线下门店-经销'!O60</f>
      </c>
      <c r="P62" s="1"/>
      <c r="Q62" s="1"/>
      <c r="R62" s="1"/>
      <c r="S62" s="1"/>
      <c r="T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>
      <c r="A82" s="1"/>
      <c r="B82" s="1"/>
      <c r="C82" s="158">
        <f>C16-C18-C20-C26-C37-C44-C47-C58-C60</f>
      </c>
      <c r="D82" s="158">
        <f>D16-D18-D20-D26-D37-D44-D47-D58-D60</f>
      </c>
      <c r="E82" s="158">
        <f>E16-E18-E20-E26-E37-E44-E47-E58-E60</f>
      </c>
      <c r="F82" s="158">
        <f>F16-F18-F20-F26-F37-F44-F47-F58-F60</f>
      </c>
      <c r="G82" s="158">
        <f>G16-G18-G20-G26-G37-G44-G47-G58-G60</f>
      </c>
      <c r="H82" s="158">
        <f>H16-H18-H20-H26-H37-H44-H47-H58-H60</f>
      </c>
      <c r="I82" s="158">
        <f>I16-I18-I20-I26-I37-I44-I47-I58-I60</f>
      </c>
      <c r="J82" s="158">
        <f>J16-J18-J20-J26-J37-J44-J47-J58-J60</f>
      </c>
      <c r="K82" s="158">
        <f>K16-K18-K20-K26-K37-K44-K47-K58-K60</f>
      </c>
      <c r="L82" s="158">
        <f>L16-L18-L20-L26-L37-L44-L47-L58-L60</f>
      </c>
      <c r="M82" s="158">
        <f>M16-M18-M20-M26-M37-M44-M47-M58-M60</f>
      </c>
      <c r="N82" s="158">
        <f>N16-N18-N20-N26-N37-N44-N47-N58-N60</f>
      </c>
      <c r="O82" s="158">
        <f>O16-O18-O20-O26-O37-O44-O47-O58-O60</f>
      </c>
      <c r="P82" s="1"/>
      <c r="Q82" s="1"/>
      <c r="R82" s="1"/>
      <c r="S82" s="1"/>
      <c r="T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</sheetData>
  <picture r:id="rId1"/>
</worksheet>
</file>

<file path=xl/worksheets/sheet26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A1" s="1"/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  <c r="R1" s="1"/>
      <c r="S1" s="1"/>
      <c r="T1" s="1"/>
    </row>
    <row r="2">
      <c r="A2" s="1"/>
      <c r="B2" s="90" t="str">
        <v>退后销量</v>
      </c>
      <c r="C2" s="118">
        <v>1945.9694989106756</v>
      </c>
      <c r="D2" s="118">
        <v>1209.1503267973856</v>
      </c>
      <c r="E2" s="118">
        <v>1588.888888888889</v>
      </c>
      <c r="F2" s="118">
        <v>1446.8409586056641</v>
      </c>
      <c r="G2" s="118">
        <v>1370.806100217865</v>
      </c>
      <c r="H2" s="118">
        <v>1682.3529411764705</v>
      </c>
      <c r="I2" s="118">
        <v>1448.3660130718954</v>
      </c>
      <c r="J2" s="118">
        <v>1548.148148148148</v>
      </c>
      <c r="K2" s="118">
        <v>1409.1503267973856</v>
      </c>
      <c r="L2" s="118">
        <v>2029.4117647058824</v>
      </c>
      <c r="M2" s="118">
        <v>2671.8954248366017</v>
      </c>
      <c r="N2" s="118">
        <v>2767.3202614379084</v>
      </c>
      <c r="O2" s="118">
        <f>SUM(C2:N2)</f>
      </c>
      <c r="P2" s="118"/>
      <c r="Q2" s="1"/>
      <c r="R2" s="1"/>
      <c r="S2" s="1"/>
      <c r="T2" s="1"/>
    </row>
    <row r="3">
      <c r="A3" s="135"/>
      <c r="B3" s="94" t="str">
        <v>自补前GMV</v>
      </c>
      <c r="C3" s="94">
        <f>C6/(1-$P$12)</f>
      </c>
      <c r="D3" s="94">
        <f>D6/(1-$P$12)</f>
      </c>
      <c r="E3" s="94">
        <f>E6/(1-$P$12)</f>
      </c>
      <c r="F3" s="94">
        <f>F6/(1-$P$12)</f>
      </c>
      <c r="G3" s="94">
        <f>G6/(1-$P$12)</f>
      </c>
      <c r="H3" s="94">
        <f>H6/(1-$P$12)</f>
      </c>
      <c r="I3" s="94">
        <f>I6/(1-$P$12)</f>
      </c>
      <c r="J3" s="94">
        <f>J6/(1-$P$12)</f>
      </c>
      <c r="K3" s="94">
        <f>K6/(1-$P$12)</f>
      </c>
      <c r="L3" s="94">
        <f>L6/(1-$P$12)</f>
      </c>
      <c r="M3" s="94">
        <f>M6/(1-$P$12)</f>
      </c>
      <c r="N3" s="94">
        <f>N6/(1-$P$12)</f>
      </c>
      <c r="O3" s="94">
        <f>SUM(C3:N3)</f>
      </c>
      <c r="P3" s="94"/>
      <c r="Q3" s="146" t="str">
        <v>渠道填写</v>
      </c>
      <c r="R3" s="1"/>
      <c r="S3" s="1"/>
      <c r="T3" s="1"/>
    </row>
    <row r="4">
      <c r="A4" s="135"/>
      <c r="B4" s="94" t="str">
        <v>自补前GSV</v>
      </c>
      <c r="C4" s="226"/>
      <c r="D4" s="226"/>
      <c r="E4" s="226"/>
      <c r="F4" s="226"/>
      <c r="G4" s="226"/>
      <c r="H4" s="226"/>
      <c r="I4" s="226"/>
      <c r="J4" s="226"/>
      <c r="K4" s="226"/>
      <c r="L4" s="226"/>
      <c r="M4" s="226"/>
      <c r="N4" s="94"/>
      <c r="O4" s="94"/>
      <c r="P4" s="94"/>
      <c r="Q4" s="146" t="str">
        <v>渠道填写</v>
      </c>
      <c r="R4" s="1"/>
      <c r="S4" s="1"/>
      <c r="T4" s="1"/>
    </row>
    <row r="5">
      <c r="A5" s="135"/>
      <c r="B5" s="94" t="str">
        <v>国补自补费用</v>
      </c>
      <c r="C5" s="94">
        <f>C3*$P$12</f>
      </c>
      <c r="D5" s="94">
        <f>D3*$P$12</f>
      </c>
      <c r="E5" s="94">
        <f>E3*$P$12</f>
      </c>
      <c r="F5" s="94">
        <f>F3*$P$12</f>
      </c>
      <c r="G5" s="94">
        <f>G3*$P$12</f>
      </c>
      <c r="H5" s="94">
        <f>H3*$P$12</f>
      </c>
      <c r="I5" s="94">
        <f>I3*$P$12</f>
      </c>
      <c r="J5" s="94">
        <f>J3*$P$12</f>
      </c>
      <c r="K5" s="94">
        <f>K3*$P$12</f>
      </c>
      <c r="L5" s="94">
        <f>L3*$P$12</f>
      </c>
      <c r="M5" s="94">
        <f>M3*$P$12</f>
      </c>
      <c r="N5" s="94">
        <f>N3*$P$12</f>
      </c>
      <c r="O5" s="94">
        <f>SUM(C5:N5)</f>
      </c>
      <c r="P5" s="94"/>
      <c r="Q5" s="126" t="str">
        <v>渠道填写</v>
      </c>
      <c r="R5" s="1"/>
      <c r="S5" s="1"/>
      <c r="T5" s="1"/>
    </row>
    <row r="6">
      <c r="A6" s="135"/>
      <c r="B6" s="98" t="str">
        <v>GMV（国补后）</v>
      </c>
      <c r="C6" s="224">
        <f>C8/(1-C7)</f>
      </c>
      <c r="D6" s="224">
        <f>D8/(1-D7)</f>
      </c>
      <c r="E6" s="224">
        <f>E8/(1-E7)</f>
      </c>
      <c r="F6" s="224">
        <f>F8/(1-F7)</f>
      </c>
      <c r="G6" s="224">
        <f>G8/(1-G7)</f>
      </c>
      <c r="H6" s="224">
        <f>H8/(1-H7)</f>
      </c>
      <c r="I6" s="224">
        <f>I8/(1-I7)</f>
      </c>
      <c r="J6" s="224">
        <f>J8/(1-J7)</f>
      </c>
      <c r="K6" s="224">
        <f>K8/(1-K7)</f>
      </c>
      <c r="L6" s="224">
        <f>L8/(1-L7)</f>
      </c>
      <c r="M6" s="224">
        <f>M8/(1-M7)</f>
      </c>
      <c r="N6" s="224">
        <f>N8/(1-N7)</f>
      </c>
      <c r="O6" s="98">
        <f>SUM(C6:N6)</f>
      </c>
      <c r="P6" s="98"/>
      <c r="Q6" s="126" t="str">
        <v>渠道填写</v>
      </c>
      <c r="R6" s="1"/>
      <c r="S6" s="1"/>
      <c r="T6" s="1"/>
    </row>
    <row r="7">
      <c r="A7" s="135"/>
      <c r="B7" s="102" t="str">
        <v>退货率（发货前+后）</v>
      </c>
      <c r="C7" s="102">
        <v>0.05</v>
      </c>
      <c r="D7" s="102">
        <v>0.05</v>
      </c>
      <c r="E7" s="102">
        <v>0.05</v>
      </c>
      <c r="F7" s="102">
        <v>0.05</v>
      </c>
      <c r="G7" s="102">
        <v>0.05</v>
      </c>
      <c r="H7" s="102">
        <v>0.05</v>
      </c>
      <c r="I7" s="102">
        <v>0.05</v>
      </c>
      <c r="J7" s="102">
        <v>0.05</v>
      </c>
      <c r="K7" s="102">
        <v>0.05</v>
      </c>
      <c r="L7" s="102">
        <v>0.05</v>
      </c>
      <c r="M7" s="102">
        <v>0.05</v>
      </c>
      <c r="N7" s="102">
        <v>0.05</v>
      </c>
      <c r="O7" s="102">
        <f>1-O8/O6</f>
      </c>
      <c r="P7" s="102"/>
      <c r="Q7" s="1" t="str">
        <v>渠道填写</v>
      </c>
      <c r="R7" s="1"/>
      <c r="S7" s="1"/>
      <c r="T7" s="1"/>
    </row>
    <row r="8">
      <c r="A8" s="135"/>
      <c r="B8" s="98" t="str">
        <v>GSV（国补后）</v>
      </c>
      <c r="C8" s="98">
        <v>893200.0000000001</v>
      </c>
      <c r="D8" s="98">
        <v>555000</v>
      </c>
      <c r="E8" s="98">
        <v>729300</v>
      </c>
      <c r="F8" s="98">
        <v>664099.9999999999</v>
      </c>
      <c r="G8" s="98">
        <v>629200</v>
      </c>
      <c r="H8" s="98">
        <v>772200</v>
      </c>
      <c r="I8" s="98">
        <v>664800</v>
      </c>
      <c r="J8" s="98">
        <v>710600</v>
      </c>
      <c r="K8" s="98">
        <v>646800</v>
      </c>
      <c r="L8" s="98">
        <v>931500</v>
      </c>
      <c r="M8" s="98">
        <v>1226400.0000000002</v>
      </c>
      <c r="N8" s="98">
        <v>1270200</v>
      </c>
      <c r="O8" s="98">
        <f>SUM(C8:N8)</f>
      </c>
      <c r="P8" s="98"/>
      <c r="Q8" s="1" t="str">
        <v>渠道填写</v>
      </c>
      <c r="R8" s="1"/>
      <c r="S8" s="1"/>
      <c r="T8" s="1"/>
    </row>
    <row r="9">
      <c r="A9" s="1"/>
      <c r="B9" s="90"/>
      <c r="C9" s="228"/>
      <c r="D9" s="228"/>
      <c r="E9" s="228"/>
      <c r="F9" s="228"/>
      <c r="G9" s="228"/>
      <c r="H9" s="228"/>
      <c r="I9" s="228"/>
      <c r="J9" s="228"/>
      <c r="K9" s="228"/>
      <c r="L9" s="228"/>
      <c r="M9" s="228"/>
      <c r="N9" s="228"/>
      <c r="O9" s="88">
        <f>O10-O14-O15</f>
      </c>
      <c r="P9" s="118"/>
      <c r="Q9" s="1"/>
      <c r="R9" s="1"/>
      <c r="S9" s="1"/>
      <c r="T9" s="1"/>
    </row>
    <row r="10">
      <c r="A10" s="135"/>
      <c r="B10" s="98" t="str">
        <v>零售价（去除退货后的）</v>
      </c>
      <c r="C10" s="98">
        <v>991189.4364813914</v>
      </c>
      <c r="D10" s="98">
        <v>647035.9908423913</v>
      </c>
      <c r="E10" s="98">
        <v>779684.7178617391</v>
      </c>
      <c r="F10" s="98">
        <v>781306.4668922825</v>
      </c>
      <c r="G10" s="98">
        <v>710965.04310832</v>
      </c>
      <c r="H10" s="98">
        <v>913437.4274025</v>
      </c>
      <c r="I10" s="98">
        <v>771485.95722</v>
      </c>
      <c r="J10" s="98">
        <v>824635.862215</v>
      </c>
      <c r="K10" s="98">
        <v>750599.329095</v>
      </c>
      <c r="L10" s="98">
        <v>1080986.08370625</v>
      </c>
      <c r="M10" s="98">
        <v>1427350.4055860003</v>
      </c>
      <c r="N10" s="98">
        <v>1574891.5344545457</v>
      </c>
      <c r="O10" s="98">
        <f>SUM(C10:N10)</f>
      </c>
      <c r="P10" s="98"/>
      <c r="Q10" s="1"/>
      <c r="R10" s="1"/>
      <c r="S10" s="1"/>
      <c r="T10" s="1"/>
    </row>
    <row r="11">
      <c r="A11" s="1"/>
      <c r="B11" s="85" t="str">
        <v>合同折扣及返利 (线下）</v>
      </c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>
        <f>SUM(C11:N11)</f>
      </c>
      <c r="P11" s="127"/>
      <c r="Q11" s="1" t="str">
        <v>线下渠道填写</v>
      </c>
      <c r="R11" s="1"/>
      <c r="S11" s="1"/>
      <c r="T11" s="1"/>
    </row>
    <row r="12">
      <c r="A12" s="1"/>
      <c r="B12" s="85" t="str">
        <v>国补自补 （线上）</v>
      </c>
      <c r="C12" s="127">
        <f>C10-C6</f>
      </c>
      <c r="D12" s="127">
        <f>D10-D6</f>
      </c>
      <c r="E12" s="127">
        <f>E10-E6</f>
      </c>
      <c r="F12" s="127">
        <f>F10-F6</f>
      </c>
      <c r="G12" s="127">
        <f>G10-G6</f>
      </c>
      <c r="H12" s="127">
        <f>H10-H6</f>
      </c>
      <c r="I12" s="127">
        <f>I10-I6</f>
      </c>
      <c r="J12" s="127">
        <f>J10-J6</f>
      </c>
      <c r="K12" s="127">
        <f>K10-K6</f>
      </c>
      <c r="L12" s="127">
        <f>L10-L6</f>
      </c>
      <c r="M12" s="127">
        <f>M10-M6</f>
      </c>
      <c r="N12" s="127">
        <f>N10-N6</f>
      </c>
      <c r="O12" s="127">
        <f>SUM(C12:N12)</f>
      </c>
      <c r="P12" s="227"/>
      <c r="Q12" s="1" t="str">
        <v>渠道填写</v>
      </c>
      <c r="R12" s="54">
        <f>O12/$O$10</f>
      </c>
      <c r="S12" s="1"/>
      <c r="T12" s="1"/>
    </row>
    <row r="13">
      <c r="A13" s="1"/>
      <c r="B13" s="85" t="str">
        <v>红包消费券等促销折扣</v>
      </c>
      <c r="C13" s="127">
        <f>C10-C15-C12</f>
      </c>
      <c r="D13" s="127">
        <f>D10-D15-D12</f>
      </c>
      <c r="E13" s="127">
        <f>E10-E15-E12</f>
      </c>
      <c r="F13" s="127">
        <f>F10-F15-F12</f>
      </c>
      <c r="G13" s="127">
        <f>G10-G15-G12</f>
      </c>
      <c r="H13" s="127">
        <f>H10-H15-H12</f>
      </c>
      <c r="I13" s="127">
        <f>I10-I15-I12</f>
      </c>
      <c r="J13" s="127">
        <f>J10-J15-J12</f>
      </c>
      <c r="K13" s="127">
        <f>K10-K15-K12</f>
      </c>
      <c r="L13" s="127">
        <f>L10-L15-L12</f>
      </c>
      <c r="M13" s="127">
        <f>M10-M15-M12</f>
      </c>
      <c r="N13" s="127">
        <f>N10-N15-N12</f>
      </c>
      <c r="O13" s="127">
        <f>SUM(C13:N13)</f>
      </c>
      <c r="P13" s="127"/>
      <c r="Q13" s="1" t="str">
        <v>渠道填写</v>
      </c>
      <c r="R13" s="54">
        <f>O13/$O$10</f>
      </c>
      <c r="S13" s="1" t="str">
        <v>零售价-GSV-国补自补计算D</v>
      </c>
      <c r="T13" s="1"/>
    </row>
    <row r="14">
      <c r="A14" s="1"/>
      <c r="B14" s="83" t="str">
        <v>TTL 折扣合计</v>
      </c>
      <c r="C14" s="115">
        <f>SUM(C11:C13)</f>
      </c>
      <c r="D14" s="115">
        <f>SUM(D11:D13)</f>
      </c>
      <c r="E14" s="115">
        <f>SUM(E11:E13)</f>
      </c>
      <c r="F14" s="115">
        <f>SUM(F11:F13)</f>
      </c>
      <c r="G14" s="115">
        <f>SUM(G11:G13)</f>
      </c>
      <c r="H14" s="115">
        <f>SUM(H11:H13)</f>
      </c>
      <c r="I14" s="115">
        <f>SUM(I11:I13)</f>
      </c>
      <c r="J14" s="115">
        <f>SUM(J11:J13)</f>
      </c>
      <c r="K14" s="115">
        <f>SUM(K11:K13)</f>
      </c>
      <c r="L14" s="115">
        <f>SUM(L11:L13)</f>
      </c>
      <c r="M14" s="115">
        <f>SUM(M11:M13)</f>
      </c>
      <c r="N14" s="115">
        <f>SUM(N11:N13)</f>
      </c>
      <c r="O14" s="115">
        <f>SUM(C14:N14)</f>
      </c>
      <c r="P14" s="115"/>
      <c r="Q14" s="1"/>
      <c r="R14" s="1"/>
      <c r="S14" s="1"/>
      <c r="T14" s="1"/>
    </row>
    <row r="15">
      <c r="A15" s="135"/>
      <c r="B15" s="98" t="str">
        <v>GSV</v>
      </c>
      <c r="C15" s="98">
        <f>C8</f>
      </c>
      <c r="D15" s="98">
        <f>D8</f>
      </c>
      <c r="E15" s="98">
        <f>E8</f>
      </c>
      <c r="F15" s="98">
        <f>F8</f>
      </c>
      <c r="G15" s="98">
        <f>G8</f>
      </c>
      <c r="H15" s="98">
        <f>H8</f>
      </c>
      <c r="I15" s="98">
        <f>I8</f>
      </c>
      <c r="J15" s="98">
        <f>J8</f>
      </c>
      <c r="K15" s="98">
        <f>K8</f>
      </c>
      <c r="L15" s="98">
        <f>L8</f>
      </c>
      <c r="M15" s="98">
        <f>M8</f>
      </c>
      <c r="N15" s="98">
        <f>N8</f>
      </c>
      <c r="O15" s="98">
        <f>SUM(C15:N15)</f>
      </c>
      <c r="P15" s="98"/>
      <c r="Q15" s="1"/>
      <c r="R15" s="1"/>
      <c r="S15" s="1"/>
      <c r="T15" s="1"/>
    </row>
    <row r="16">
      <c r="A16" s="135"/>
      <c r="B16" s="98" t="str">
        <v>营业收入</v>
      </c>
      <c r="C16" s="98">
        <f>+C8/1.13</f>
      </c>
      <c r="D16" s="98">
        <f>+D8/1.13</f>
      </c>
      <c r="E16" s="98">
        <f>+E8/1.13</f>
      </c>
      <c r="F16" s="98">
        <f>+F8/1.13</f>
      </c>
      <c r="G16" s="98">
        <f>+G8/1.13</f>
      </c>
      <c r="H16" s="98">
        <f>+H8/1.13</f>
      </c>
      <c r="I16" s="98">
        <f>+I8/1.13</f>
      </c>
      <c r="J16" s="98">
        <f>+J8/1.13</f>
      </c>
      <c r="K16" s="98">
        <f>+K8/1.13</f>
      </c>
      <c r="L16" s="98">
        <f>+L8/1.13</f>
      </c>
      <c r="M16" s="98">
        <f>+M8/1.13</f>
      </c>
      <c r="N16" s="98">
        <f>+N8/1.13</f>
      </c>
      <c r="O16" s="98">
        <f>SUM(C16:N16)</f>
      </c>
      <c r="P16" s="98"/>
      <c r="Q16" s="1"/>
      <c r="R16" s="1"/>
      <c r="S16" s="1"/>
      <c r="T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>
      <c r="A18" s="1"/>
      <c r="B18" s="85" t="str">
        <v>标准主品配件成本</v>
      </c>
      <c r="C18" s="127">
        <f>C16*(1-C23)</f>
      </c>
      <c r="D18" s="127">
        <f>D16*(1-D23)</f>
      </c>
      <c r="E18" s="127">
        <f>E16*(1-E23)</f>
      </c>
      <c r="F18" s="127">
        <f>F16*(1-F23)</f>
      </c>
      <c r="G18" s="127">
        <f>G16*(1-G23)</f>
      </c>
      <c r="H18" s="127">
        <f>H16*(1-H23)</f>
      </c>
      <c r="I18" s="127">
        <f>I16*(1-I23)</f>
      </c>
      <c r="J18" s="127">
        <f>J16*(1-J23)</f>
      </c>
      <c r="K18" s="127">
        <f>K16*(1-K23)</f>
      </c>
      <c r="L18" s="127">
        <f>L16*(1-L23)</f>
      </c>
      <c r="M18" s="127">
        <f>M16*(1-M23)</f>
      </c>
      <c r="N18" s="127">
        <f>N16*(1-N23)</f>
      </c>
      <c r="O18" s="127">
        <f>SUM(C18:N18)</f>
      </c>
      <c r="P18" s="128">
        <f>O18/O16</f>
      </c>
      <c r="Q18" s="1"/>
      <c r="R18" s="1"/>
      <c r="S18" s="1"/>
      <c r="T18" s="1"/>
    </row>
    <row r="19">
      <c r="A19" s="1"/>
      <c r="B19" s="83" t="str">
        <v>产品毛利</v>
      </c>
      <c r="C19" s="115">
        <f>C16-C18</f>
      </c>
      <c r="D19" s="115">
        <f>D16-D18</f>
      </c>
      <c r="E19" s="115">
        <f>E16-E18</f>
      </c>
      <c r="F19" s="115">
        <f>F16-F18</f>
      </c>
      <c r="G19" s="115">
        <f>G16-G18</f>
      </c>
      <c r="H19" s="115">
        <f>H16-H18</f>
      </c>
      <c r="I19" s="115">
        <f>I16-I18</f>
      </c>
      <c r="J19" s="115">
        <f>J16-J18</f>
      </c>
      <c r="K19" s="115">
        <f>K16-K18</f>
      </c>
      <c r="L19" s="115">
        <f>L16-L18</f>
      </c>
      <c r="M19" s="115">
        <f>M16-M18</f>
      </c>
      <c r="N19" s="115">
        <f>N16-N18</f>
      </c>
      <c r="O19" s="115">
        <f>SUM(C19:N19)</f>
      </c>
      <c r="P19" s="116">
        <f>O19/$O$16</f>
      </c>
      <c r="Q19" s="1"/>
      <c r="R19" s="1"/>
      <c r="S19" s="1"/>
      <c r="T19" s="1"/>
    </row>
    <row r="20">
      <c r="A20" s="118"/>
      <c r="B20" s="90" t="str">
        <v>头程/尾程物流/仓储费用</v>
      </c>
      <c r="C20" s="118">
        <f>C16*2.5%</f>
      </c>
      <c r="D20" s="118">
        <f>D16*2.5%</f>
      </c>
      <c r="E20" s="118">
        <f>E16*2.5%</f>
      </c>
      <c r="F20" s="118">
        <f>F16*2.5%</f>
      </c>
      <c r="G20" s="118">
        <f>G16*2.5%</f>
      </c>
      <c r="H20" s="118">
        <f>H16*2.5%</f>
      </c>
      <c r="I20" s="118">
        <f>I16*2.5%</f>
      </c>
      <c r="J20" s="118">
        <f>J16*2.5%</f>
      </c>
      <c r="K20" s="118">
        <f>K16*2.5%</f>
      </c>
      <c r="L20" s="118">
        <f>L16*2.5%</f>
      </c>
      <c r="M20" s="118">
        <f>M16*2.5%</f>
      </c>
      <c r="N20" s="118">
        <f>N16*2.5%</f>
      </c>
      <c r="O20" s="118">
        <f>SUM(C20:N20)</f>
      </c>
      <c r="P20" s="120">
        <v>0.025</v>
      </c>
      <c r="Q20" s="1"/>
      <c r="R20" s="1"/>
      <c r="S20" s="1"/>
      <c r="T20" s="1"/>
    </row>
    <row r="21">
      <c r="A21" s="1"/>
      <c r="B21" s="83" t="str">
        <v>成本合计（产品+物流）</v>
      </c>
      <c r="C21" s="115">
        <f>SUM(C18,C20)</f>
      </c>
      <c r="D21" s="115">
        <f>SUM(D18,D20)</f>
      </c>
      <c r="E21" s="115">
        <f>SUM(E18,E20)</f>
      </c>
      <c r="F21" s="115">
        <f>SUM(F18,F20)</f>
      </c>
      <c r="G21" s="115">
        <f>SUM(G18,G20)</f>
      </c>
      <c r="H21" s="115">
        <f>SUM(H18,H20)</f>
      </c>
      <c r="I21" s="115">
        <f>SUM(I18,I20)</f>
      </c>
      <c r="J21" s="115">
        <f>SUM(J18,J20)</f>
      </c>
      <c r="K21" s="115">
        <f>SUM(K18,K20)</f>
      </c>
      <c r="L21" s="115">
        <f>SUM(L18,L20)</f>
      </c>
      <c r="M21" s="115">
        <f>SUM(M18,M20)</f>
      </c>
      <c r="N21" s="115">
        <f>SUM(N18,N20)</f>
      </c>
      <c r="O21" s="115">
        <f>SUM(C21:N21)</f>
      </c>
      <c r="P21" s="116">
        <f>O21/$O$16</f>
      </c>
      <c r="Q21" s="1"/>
      <c r="R21" s="1"/>
      <c r="S21" s="1"/>
      <c r="T21" s="1"/>
    </row>
    <row r="22">
      <c r="A22" s="135"/>
      <c r="B22" s="98" t="str">
        <v>净毛利</v>
      </c>
      <c r="C22" s="98">
        <f>C16-C21</f>
      </c>
      <c r="D22" s="98">
        <f>D16-D21</f>
      </c>
      <c r="E22" s="98">
        <f>E16-E21</f>
      </c>
      <c r="F22" s="98">
        <f>F16-F21</f>
      </c>
      <c r="G22" s="98">
        <f>G16-G21</f>
      </c>
      <c r="H22" s="98">
        <f>H16-H21</f>
      </c>
      <c r="I22" s="98">
        <f>I16-I21</f>
      </c>
      <c r="J22" s="98">
        <f>J16-J21</f>
      </c>
      <c r="K22" s="98">
        <f>K16-K21</f>
      </c>
      <c r="L22" s="98">
        <f>L16-L21</f>
      </c>
      <c r="M22" s="98">
        <f>M16-M21</f>
      </c>
      <c r="N22" s="98">
        <f>N16-N21</f>
      </c>
      <c r="O22" s="98">
        <f>SUM(C22:N22)</f>
      </c>
      <c r="P22" s="162">
        <f>O22/$O$16</f>
      </c>
      <c r="Q22" s="1"/>
      <c r="R22" s="1"/>
      <c r="S22" s="1"/>
      <c r="T22" s="1"/>
    </row>
    <row r="23">
      <c r="A23" s="1"/>
      <c r="B23" s="102" t="str">
        <v>实际产品毛利率</v>
      </c>
      <c r="C23" s="165">
        <v>0.51</v>
      </c>
      <c r="D23" s="165">
        <v>0.52</v>
      </c>
      <c r="E23" s="165">
        <v>0.53</v>
      </c>
      <c r="F23" s="165">
        <v>0.54</v>
      </c>
      <c r="G23" s="165">
        <v>0.55</v>
      </c>
      <c r="H23" s="165">
        <v>0.56</v>
      </c>
      <c r="I23" s="165">
        <v>0.57</v>
      </c>
      <c r="J23" s="165">
        <v>0.59</v>
      </c>
      <c r="K23" s="165">
        <v>0.6</v>
      </c>
      <c r="L23" s="165">
        <v>0.61</v>
      </c>
      <c r="M23" s="165">
        <v>0.62</v>
      </c>
      <c r="N23" s="165">
        <v>0.63</v>
      </c>
      <c r="O23" s="165">
        <f>O19/$O$16</f>
      </c>
      <c r="P23" s="120"/>
      <c r="Q23" s="1"/>
      <c r="R23" s="1"/>
      <c r="S23" s="1"/>
      <c r="T23" s="1"/>
    </row>
    <row r="24">
      <c r="A24" s="1"/>
      <c r="B24" s="102" t="str">
        <v>合计毛利率</v>
      </c>
      <c r="C24" s="165">
        <f>IFERROR(1-C21/C16,0)</f>
      </c>
      <c r="D24" s="165">
        <f>IFERROR(1-D21/D16,0)</f>
      </c>
      <c r="E24" s="165">
        <f>IFERROR(1-E21/E16,0)</f>
      </c>
      <c r="F24" s="165">
        <f>IFERROR(1-F21/F16,0)</f>
      </c>
      <c r="G24" s="165">
        <f>IFERROR(1-G21/G16,0)</f>
      </c>
      <c r="H24" s="165">
        <f>IFERROR(1-H21/H16,0)</f>
      </c>
      <c r="I24" s="165">
        <f>IFERROR(1-I21/I16,0)</f>
      </c>
      <c r="J24" s="165">
        <f>IFERROR(1-J21/J16,0)</f>
      </c>
      <c r="K24" s="165">
        <f>IFERROR(1-K21/K16,0)</f>
      </c>
      <c r="L24" s="165">
        <f>IFERROR(1-L21/L16,0)</f>
      </c>
      <c r="M24" s="165">
        <f>IFERROR(1-M21/M16,0)</f>
      </c>
      <c r="N24" s="165">
        <f>IFERROR(1-N21/N16,0)</f>
      </c>
      <c r="O24" s="165">
        <f>IFERROR(1-O21/O16,0)</f>
      </c>
      <c r="P24" s="120"/>
      <c r="Q24" s="1"/>
      <c r="R24" s="1"/>
      <c r="S24" s="1"/>
      <c r="T24" s="1"/>
    </row>
    <row r="25">
      <c r="A25" s="1"/>
      <c r="B25" s="1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20"/>
      <c r="Q25" s="1"/>
      <c r="R25" s="1"/>
      <c r="S25" s="1"/>
      <c r="T25" s="1"/>
    </row>
    <row r="26">
      <c r="A26" s="1"/>
      <c r="B26" s="85" t="str">
        <v>品牌及内容费用</v>
      </c>
      <c r="C26" s="127">
        <f>SUM(C27:C31)</f>
      </c>
      <c r="D26" s="127">
        <f>SUM(D27:D31)</f>
      </c>
      <c r="E26" s="127">
        <f>SUM(E27:E31)</f>
      </c>
      <c r="F26" s="127">
        <f>SUM(F27:F31)</f>
      </c>
      <c r="G26" s="127">
        <f>SUM(G27:G31)</f>
      </c>
      <c r="H26" s="127">
        <f>SUM(H27:H31)</f>
      </c>
      <c r="I26" s="127">
        <f>SUM(I27:I31)</f>
      </c>
      <c r="J26" s="127">
        <f>SUM(J27:J31)</f>
      </c>
      <c r="K26" s="127">
        <f>SUM(K27:K31)</f>
      </c>
      <c r="L26" s="127">
        <f>SUM(L27:L31)</f>
      </c>
      <c r="M26" s="127">
        <f>SUM(M27:M31)</f>
      </c>
      <c r="N26" s="127">
        <f>SUM(N27:N31)</f>
      </c>
      <c r="O26" s="127">
        <f>SUM(C26:N26)</f>
      </c>
      <c r="P26" s="128">
        <f>O26/$O$16</f>
      </c>
      <c r="Q26" s="1"/>
      <c r="R26" s="1"/>
      <c r="S26" s="1"/>
      <c r="T26" s="1"/>
    </row>
    <row r="27">
      <c r="A27" s="118"/>
      <c r="B27" s="90" t="str">
        <v>展会</v>
      </c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18">
        <f>SUM(C27:N27)</f>
      </c>
      <c r="P27" s="120">
        <f>O27/$O$16</f>
      </c>
      <c r="Q27" s="90"/>
      <c r="R27" s="1"/>
      <c r="S27" s="1"/>
      <c r="T27" s="1"/>
    </row>
    <row r="28">
      <c r="A28" s="118"/>
      <c r="B28" s="90" t="str">
        <v>品牌营销</v>
      </c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18">
        <f>SUM(C28:N28)</f>
      </c>
      <c r="P28" s="120">
        <f>O28/$O$16</f>
      </c>
      <c r="Q28" s="90"/>
      <c r="R28" s="1"/>
      <c r="S28" s="1"/>
      <c r="T28" s="1"/>
    </row>
    <row r="29">
      <c r="A29" s="118"/>
      <c r="B29" s="90" t="str">
        <v>内容素材制作</v>
      </c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18">
        <f>SUM(C29:N29)</f>
      </c>
      <c r="P29" s="120">
        <f>O29/$O$16</f>
      </c>
      <c r="Q29" s="1"/>
      <c r="R29" s="1"/>
      <c r="S29" s="1"/>
      <c r="T29" s="1"/>
    </row>
    <row r="30">
      <c r="A30" s="118"/>
      <c r="B30" s="90" t="str">
        <v>公关费用</v>
      </c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18">
        <f>SUM(C30:N30)</f>
      </c>
      <c r="P30" s="120">
        <f>O30/$O$16</f>
      </c>
      <c r="Q30" s="1"/>
      <c r="R30" s="1"/>
      <c r="S30" s="1"/>
      <c r="T30" s="1"/>
    </row>
    <row r="31">
      <c r="A31" s="118"/>
      <c r="B31" s="90" t="str">
        <v>达人种草、样机及加热</v>
      </c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18">
        <f>SUM(C31:N31)</f>
      </c>
      <c r="P31" s="120">
        <f>O31/$O$16</f>
      </c>
      <c r="Q31" s="1"/>
      <c r="R31" s="1"/>
      <c r="S31" s="1"/>
      <c r="T31" s="1"/>
    </row>
    <row outlineLevel="1" r="32">
      <c r="A32" s="118"/>
      <c r="B32" s="90" t="str">
        <v>展会(费率)</v>
      </c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20"/>
      <c r="Q32" s="1"/>
      <c r="R32" s="1"/>
      <c r="S32" s="1"/>
      <c r="T32" s="1"/>
    </row>
    <row outlineLevel="1" r="33">
      <c r="A33" s="118"/>
      <c r="B33" s="90" t="str">
        <v>品牌营销（费率）</v>
      </c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20"/>
      <c r="Q33" s="1"/>
      <c r="R33" s="1"/>
      <c r="S33" s="1"/>
      <c r="T33" s="1"/>
    </row>
    <row outlineLevel="1" r="34">
      <c r="A34" s="118"/>
      <c r="B34" s="90" t="str">
        <v>内容素材制作（费率）</v>
      </c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20"/>
      <c r="Q34" s="1"/>
      <c r="R34" s="1"/>
      <c r="S34" s="1"/>
      <c r="T34" s="1"/>
    </row>
    <row outlineLevel="1" r="35">
      <c r="A35" s="118"/>
      <c r="B35" s="90" t="str">
        <v>公关费用（费率）</v>
      </c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20"/>
      <c r="Q35" s="1"/>
      <c r="R35" s="1"/>
      <c r="S35" s="1"/>
      <c r="T35" s="1"/>
    </row>
    <row outlineLevel="1" r="36">
      <c r="A36" s="118"/>
      <c r="B36" s="90" t="str">
        <v>达人种草、样机及加热（费率）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18"/>
      <c r="P36" s="120"/>
      <c r="Q36" s="1"/>
      <c r="R36" s="1"/>
      <c r="S36" s="1"/>
      <c r="T36" s="1"/>
    </row>
    <row r="37">
      <c r="A37" s="1"/>
      <c r="B37" s="85" t="str">
        <v>效果广告</v>
      </c>
      <c r="C37" s="127">
        <f>SUM(C38:C40)</f>
      </c>
      <c r="D37" s="127">
        <f>SUM(D38:D40)</f>
      </c>
      <c r="E37" s="127">
        <f>SUM(E38:E40)</f>
      </c>
      <c r="F37" s="127">
        <f>SUM(F38:F40)</f>
      </c>
      <c r="G37" s="127">
        <f>SUM(G38:G40)</f>
      </c>
      <c r="H37" s="127">
        <f>SUM(H38:H40)</f>
      </c>
      <c r="I37" s="127">
        <f>SUM(I38:I40)</f>
      </c>
      <c r="J37" s="127">
        <f>SUM(J38:J40)</f>
      </c>
      <c r="K37" s="127">
        <f>SUM(K38:K40)</f>
      </c>
      <c r="L37" s="127">
        <f>SUM(L38:L40)</f>
      </c>
      <c r="M37" s="127">
        <f>SUM(M38:M40)</f>
      </c>
      <c r="N37" s="127">
        <f>SUM(N38:N40)</f>
      </c>
      <c r="O37" s="127">
        <f>SUM(C37:N37)</f>
      </c>
      <c r="P37" s="128">
        <f>O37/$O$16</f>
      </c>
      <c r="Q37" s="1"/>
      <c r="R37" s="1"/>
      <c r="S37" s="1"/>
      <c r="T37" s="1"/>
    </row>
    <row r="38">
      <c r="A38" s="118"/>
      <c r="B38" s="90" t="str">
        <v>站内投放</v>
      </c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18">
        <f>SUM(C38:N38)</f>
      </c>
      <c r="P38" s="120">
        <f>O38/$O$16</f>
      </c>
      <c r="Q38" s="1" t="str">
        <v>投放填写</v>
      </c>
      <c r="R38" s="1"/>
      <c r="S38" s="1"/>
      <c r="T38" s="1"/>
    </row>
    <row r="39">
      <c r="A39" s="118"/>
      <c r="B39" s="90" t="str">
        <v>千川投放</v>
      </c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18">
        <f>SUM(C39:N39)</f>
      </c>
      <c r="P39" s="120">
        <f>O39/$O$16</f>
      </c>
      <c r="Q39" s="1" t="str">
        <v>投放填写</v>
      </c>
      <c r="R39" s="1"/>
      <c r="S39" s="1"/>
      <c r="T39" s="1"/>
    </row>
    <row r="40">
      <c r="A40" s="118"/>
      <c r="B40" s="90" t="str">
        <v>站外投放</v>
      </c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18">
        <f>SUM(C40:N40)</f>
      </c>
      <c r="P40" s="120">
        <f>O40/$O$16</f>
      </c>
      <c r="Q40" s="1" t="str">
        <v>投放填写</v>
      </c>
      <c r="R40" s="1"/>
      <c r="S40" s="1"/>
      <c r="T40" s="1"/>
    </row>
    <row outlineLevel="1" r="41">
      <c r="A41" s="118"/>
      <c r="B41" s="90" t="str">
        <v>站内投放（费率）</v>
      </c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20">
        <f>O38/$O$16</f>
      </c>
      <c r="P41" s="1"/>
      <c r="Q41" s="1" t="str">
        <v>投放填写</v>
      </c>
      <c r="R41" s="1"/>
      <c r="S41" s="1"/>
      <c r="T41" s="1"/>
    </row>
    <row outlineLevel="1" r="42">
      <c r="A42" s="118"/>
      <c r="B42" s="90" t="str">
        <v>千川投放（费率）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20">
        <f>O39/$O$16</f>
      </c>
      <c r="P42" s="1"/>
      <c r="Q42" s="1" t="str">
        <v>投放填写</v>
      </c>
      <c r="R42" s="1"/>
      <c r="S42" s="1"/>
      <c r="T42" s="1"/>
    </row>
    <row outlineLevel="1" r="43">
      <c r="A43" s="118"/>
      <c r="B43" s="90" t="str">
        <v>站外投放（费率）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20">
        <f>O40/$O$16</f>
      </c>
      <c r="P43" s="1"/>
      <c r="Q43" s="1" t="str">
        <v>投放填写</v>
      </c>
      <c r="R43" s="1"/>
      <c r="S43" s="1"/>
      <c r="T43" s="1"/>
    </row>
    <row r="44">
      <c r="A44" s="1"/>
      <c r="B44" s="85" t="str">
        <v>线上营销费用</v>
      </c>
      <c r="C44" s="127">
        <f>SUM(C45:C46)</f>
      </c>
      <c r="D44" s="127">
        <f>SUM(D45:D46)</f>
      </c>
      <c r="E44" s="127">
        <f>SUM(E45:E46)</f>
      </c>
      <c r="F44" s="127">
        <f>SUM(F45:F46)</f>
      </c>
      <c r="G44" s="127">
        <f>SUM(G45:G46)</f>
      </c>
      <c r="H44" s="127">
        <f>SUM(H45:H46)</f>
      </c>
      <c r="I44" s="127">
        <f>SUM(I45:I46)</f>
      </c>
      <c r="J44" s="127">
        <f>SUM(J45:J46)</f>
      </c>
      <c r="K44" s="127">
        <f>SUM(K45:K46)</f>
      </c>
      <c r="L44" s="127">
        <f>SUM(L45:L46)</f>
      </c>
      <c r="M44" s="127">
        <f>SUM(M45:M46)</f>
      </c>
      <c r="N44" s="127">
        <f>SUM(N45:N46)</f>
      </c>
      <c r="O44" s="127">
        <f>SUM(C44:N44)</f>
      </c>
      <c r="P44" s="128">
        <f>O44/$O$16</f>
      </c>
      <c r="Q44" s="1"/>
      <c r="R44" s="1"/>
      <c r="S44" s="1"/>
      <c r="T44" s="1"/>
    </row>
    <row r="45">
      <c r="A45" s="118"/>
      <c r="B45" s="90" t="str">
        <v>直播费用</v>
      </c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18">
        <f>SUM(C45:N45)</f>
      </c>
      <c r="P45" s="120">
        <v>0.01</v>
      </c>
      <c r="Q45" s="1" t="str">
        <v>达人填写</v>
      </c>
      <c r="R45" s="1"/>
      <c r="S45" s="1"/>
      <c r="T45" s="1"/>
    </row>
    <row r="46">
      <c r="A46" s="118"/>
      <c r="B46" s="90" t="str">
        <v>赠品费用</v>
      </c>
      <c r="C46" s="170">
        <f>C16*$P$46</f>
      </c>
      <c r="D46" s="170">
        <f>D16*$P$46</f>
      </c>
      <c r="E46" s="170">
        <f>E16*$P$46</f>
      </c>
      <c r="F46" s="170">
        <f>F16*$P$46</f>
      </c>
      <c r="G46" s="170">
        <f>G16*$P$46</f>
      </c>
      <c r="H46" s="170">
        <f>H16*$P$46</f>
      </c>
      <c r="I46" s="170">
        <f>I16*$P$46</f>
      </c>
      <c r="J46" s="170">
        <f>J16*$P$46</f>
      </c>
      <c r="K46" s="170">
        <f>K16*$P$46</f>
      </c>
      <c r="L46" s="170">
        <f>L16*$P$46</f>
      </c>
      <c r="M46" s="170">
        <f>M16*$P$46</f>
      </c>
      <c r="N46" s="170">
        <f>N16*$P$46</f>
      </c>
      <c r="O46" s="118">
        <f>SUM(C46:N46)</f>
      </c>
      <c r="P46" s="120">
        <v>0.02</v>
      </c>
      <c r="Q46" s="90" t="str">
        <v>渠道填写</v>
      </c>
      <c r="R46" s="1"/>
      <c r="S46" s="1"/>
      <c r="T46" s="1"/>
    </row>
    <row r="47">
      <c r="A47" s="1"/>
      <c r="B47" s="85" t="str">
        <v>线下市场费用</v>
      </c>
      <c r="C47" s="127">
        <f>SUM(C48:C51)</f>
      </c>
      <c r="D47" s="127">
        <f>SUM(D48:D51)</f>
      </c>
      <c r="E47" s="127">
        <f>SUM(E48:E51)</f>
      </c>
      <c r="F47" s="127">
        <f>SUM(F48:F51)</f>
      </c>
      <c r="G47" s="127">
        <f>SUM(G48:G51)</f>
      </c>
      <c r="H47" s="127">
        <f>SUM(H48:H51)</f>
      </c>
      <c r="I47" s="127">
        <f>SUM(I48:I51)</f>
      </c>
      <c r="J47" s="127">
        <f>SUM(J48:J51)</f>
      </c>
      <c r="K47" s="127">
        <f>SUM(K48:K51)</f>
      </c>
      <c r="L47" s="127">
        <f>SUM(L48:L51)</f>
      </c>
      <c r="M47" s="127">
        <f>SUM(M48:M51)</f>
      </c>
      <c r="N47" s="127">
        <f>SUM(N48:N51)</f>
      </c>
      <c r="O47" s="127">
        <f>SUM(C47:N47)</f>
      </c>
      <c r="P47" s="128">
        <f>O47/$O$16</f>
      </c>
      <c r="Q47" s="1"/>
      <c r="R47" s="1"/>
      <c r="S47" s="1"/>
      <c r="T47" s="1"/>
    </row>
    <row r="48">
      <c r="A48" s="118"/>
      <c r="B48" s="90" t="str">
        <v>线下渠道展陈、促销费用</v>
      </c>
      <c r="C48" s="170">
        <f>C6*0.03</f>
      </c>
      <c r="D48" s="170">
        <f>D6*0.03</f>
      </c>
      <c r="E48" s="170">
        <f>E6*0.03</f>
      </c>
      <c r="F48" s="170">
        <f>F6*0.03</f>
      </c>
      <c r="G48" s="170">
        <f>G6*0.03</f>
      </c>
      <c r="H48" s="170">
        <f>H6*0.03</f>
      </c>
      <c r="I48" s="170">
        <f>I6*0.03</f>
      </c>
      <c r="J48" s="170">
        <f>J6*0.03</f>
      </c>
      <c r="K48" s="170">
        <f>K6*0.03</f>
      </c>
      <c r="L48" s="170">
        <f>L6*0.03</f>
      </c>
      <c r="M48" s="170">
        <f>M6*0.03</f>
      </c>
      <c r="N48" s="170">
        <f>N6*0.03</f>
      </c>
      <c r="O48" s="118">
        <f>SUM(C48:N48)</f>
      </c>
      <c r="P48" s="120">
        <f>O48/$O$16</f>
      </c>
      <c r="Q48" s="90" t="str">
        <v>线下门店</v>
      </c>
      <c r="R48" s="1"/>
      <c r="S48" s="1"/>
      <c r="T48" s="1"/>
    </row>
    <row r="49">
      <c r="A49" s="118"/>
      <c r="B49" s="90" t="str">
        <v>租金+物业+水电</v>
      </c>
      <c r="C49" s="170">
        <v>151958.47167363294</v>
      </c>
      <c r="D49" s="170">
        <v>132683.53499999997</v>
      </c>
      <c r="E49" s="170">
        <v>144087.636</v>
      </c>
      <c r="F49" s="170">
        <v>135605.01499999996</v>
      </c>
      <c r="G49" s="170">
        <v>102872.77</v>
      </c>
      <c r="H49" s="170">
        <v>143943.345</v>
      </c>
      <c r="I49" s="170">
        <v>131789.63999999998</v>
      </c>
      <c r="J49" s="170">
        <v>112127.73</v>
      </c>
      <c r="K49" s="170">
        <v>107031.015</v>
      </c>
      <c r="L49" s="170">
        <v>130051.30500000001</v>
      </c>
      <c r="M49" s="170">
        <v>134868.02000000002</v>
      </c>
      <c r="N49" s="170">
        <v>139684.735</v>
      </c>
      <c r="O49" s="118">
        <f>SUM(C49:N49)</f>
      </c>
      <c r="P49" s="120">
        <f>O49/$O$16</f>
      </c>
      <c r="Q49" s="90" t="str">
        <v>线下门店</v>
      </c>
      <c r="R49" s="1"/>
      <c r="S49" s="1"/>
      <c r="T49" s="1"/>
    </row>
    <row r="50">
      <c r="A50" s="118"/>
      <c r="B50" s="90" t="str">
        <v>门店人工</v>
      </c>
      <c r="C50" s="170">
        <v>112000.00000000001</v>
      </c>
      <c r="D50" s="170">
        <v>120000</v>
      </c>
      <c r="E50" s="170">
        <v>132000</v>
      </c>
      <c r="F50" s="170">
        <v>145000</v>
      </c>
      <c r="G50" s="170">
        <v>110000</v>
      </c>
      <c r="H50" s="170">
        <v>135000</v>
      </c>
      <c r="I50" s="170">
        <v>120000</v>
      </c>
      <c r="J50" s="170">
        <v>110000</v>
      </c>
      <c r="K50" s="170">
        <v>105000</v>
      </c>
      <c r="L50" s="170">
        <v>135000</v>
      </c>
      <c r="M50" s="170">
        <v>140000</v>
      </c>
      <c r="N50" s="170">
        <v>145000</v>
      </c>
      <c r="O50" s="118">
        <f>SUM(C50:N50)</f>
      </c>
      <c r="P50" s="120">
        <f>O50/$O$16</f>
      </c>
      <c r="Q50" s="90" t="str">
        <v>线下门店</v>
      </c>
      <c r="R50" s="1"/>
      <c r="S50" s="1"/>
      <c r="T50" s="1"/>
    </row>
    <row r="51">
      <c r="A51" s="1"/>
      <c r="B51" s="90" t="str">
        <v>门店展陈装修等其他</v>
      </c>
      <c r="C51" s="170">
        <v>119622.72108033537</v>
      </c>
      <c r="D51" s="170">
        <v>101514.25857142858</v>
      </c>
      <c r="E51" s="170">
        <v>111665.68442857145</v>
      </c>
      <c r="F51" s="170">
        <v>94194.73566666665</v>
      </c>
      <c r="G51" s="170">
        <v>65083.46533333333</v>
      </c>
      <c r="H51" s="170">
        <v>75262.662</v>
      </c>
      <c r="I51" s="170">
        <v>66900.14399999999</v>
      </c>
      <c r="J51" s="170">
        <v>58577.56666666666</v>
      </c>
      <c r="K51" s="170">
        <v>55914.94999999999</v>
      </c>
      <c r="L51" s="170">
        <v>69655.59</v>
      </c>
      <c r="M51" s="170">
        <v>72235.42666666667</v>
      </c>
      <c r="N51" s="170">
        <v>66625.15583333332</v>
      </c>
      <c r="O51" s="118">
        <f>SUM(C51:N51)</f>
      </c>
      <c r="P51" s="120">
        <f>O51/$O$16</f>
      </c>
      <c r="Q51" s="225" t="str">
        <v>空白</v>
      </c>
      <c r="R51" s="1"/>
      <c r="S51" s="1"/>
      <c r="T51" s="1"/>
    </row>
    <row r="52">
      <c r="A52" s="1"/>
      <c r="B52" s="83" t="str">
        <v>市场投入费用</v>
      </c>
      <c r="C52" s="115">
        <f>SUM(C26,C37,C44,C47)</f>
      </c>
      <c r="D52" s="115">
        <f>SUM(D26,D37,D44,D47)</f>
      </c>
      <c r="E52" s="115">
        <f>SUM(E26,E37,E44,E47)</f>
      </c>
      <c r="F52" s="115">
        <f>SUM(F26,F37,F44,F47)</f>
      </c>
      <c r="G52" s="115">
        <f>SUM(G26,G37,G44,G47)</f>
      </c>
      <c r="H52" s="115">
        <f>SUM(H26,H37,H44,H47)</f>
      </c>
      <c r="I52" s="115">
        <f>SUM(I26,I37,I44,I47)</f>
      </c>
      <c r="J52" s="115">
        <f>SUM(J26,J37,J44,J47)</f>
      </c>
      <c r="K52" s="115">
        <f>SUM(K26,K37,K44,K47)</f>
      </c>
      <c r="L52" s="115">
        <f>SUM(L26,L37,L44,L47)</f>
      </c>
      <c r="M52" s="115">
        <f>SUM(M26,M37,M44,M47)</f>
      </c>
      <c r="N52" s="115">
        <f>SUM(N26,N37,N44,N47)</f>
      </c>
      <c r="O52" s="115">
        <f>SUM(C52:N52)</f>
      </c>
      <c r="P52" s="116">
        <f>O52/$O$16</f>
      </c>
      <c r="Q52" s="1"/>
      <c r="R52" s="1"/>
      <c r="S52" s="1"/>
      <c r="T52" s="1"/>
    </row>
    <row r="53">
      <c r="A53" s="118"/>
      <c r="B53" s="90" t="str">
        <v>平台佣金</v>
      </c>
      <c r="C53" s="170">
        <f>C16*$P$53</f>
      </c>
      <c r="D53" s="170">
        <f>D16*$P$53</f>
      </c>
      <c r="E53" s="170">
        <f>E16*$P$53</f>
      </c>
      <c r="F53" s="170">
        <f>F16*$P$53</f>
      </c>
      <c r="G53" s="170">
        <f>G16*$P$53</f>
      </c>
      <c r="H53" s="170">
        <f>H16*$P$53</f>
      </c>
      <c r="I53" s="170">
        <f>I16*$P$53</f>
      </c>
      <c r="J53" s="170">
        <f>J16*$P$53</f>
      </c>
      <c r="K53" s="170">
        <f>K16*$P$53</f>
      </c>
      <c r="L53" s="170">
        <f>L16*$P$53</f>
      </c>
      <c r="M53" s="170">
        <f>M16*$P$53</f>
      </c>
      <c r="N53" s="170">
        <f>N16*$P$53</f>
      </c>
      <c r="O53" s="118">
        <f>SUM(C53:N53)</f>
      </c>
      <c r="P53" s="120">
        <v>0</v>
      </c>
      <c r="Q53" s="1"/>
      <c r="R53" s="1"/>
      <c r="S53" s="1"/>
      <c r="T53" s="1"/>
    </row>
    <row r="54">
      <c r="A54" s="118"/>
      <c r="B54" s="90" t="str">
        <v>平台其他费用</v>
      </c>
      <c r="C54" s="170">
        <f>C16*$P$54</f>
      </c>
      <c r="D54" s="170">
        <f>D16*$P$54</f>
      </c>
      <c r="E54" s="170">
        <f>E16*$P$54</f>
      </c>
      <c r="F54" s="170">
        <f>F16*$P$54</f>
      </c>
      <c r="G54" s="170">
        <f>G16*$P$54</f>
      </c>
      <c r="H54" s="170">
        <f>H16*$P$54</f>
      </c>
      <c r="I54" s="170">
        <f>I16*$P$54</f>
      </c>
      <c r="J54" s="170">
        <f>J16*$P$54</f>
      </c>
      <c r="K54" s="170">
        <f>K16*$P$54</f>
      </c>
      <c r="L54" s="170">
        <f>L16*$P$54</f>
      </c>
      <c r="M54" s="170">
        <f>M16*$P$54</f>
      </c>
      <c r="N54" s="170">
        <f>N16*$P$54</f>
      </c>
      <c r="O54" s="118">
        <f>SUM(C54:N54)</f>
      </c>
      <c r="P54" s="120">
        <v>0</v>
      </c>
      <c r="Q54" s="1"/>
      <c r="R54" s="1"/>
      <c r="S54" s="1"/>
      <c r="T54" s="1"/>
    </row>
    <row r="55">
      <c r="A55" s="118"/>
      <c r="B55" s="90" t="str">
        <v>售后费用</v>
      </c>
      <c r="C55" s="170">
        <v>23467.237050749576</v>
      </c>
      <c r="D55" s="170">
        <v>15345.491029982757</v>
      </c>
      <c r="E55" s="170">
        <v>11969.363503882676</v>
      </c>
      <c r="F55" s="170">
        <v>18420.17106224765</v>
      </c>
      <c r="G55" s="170">
        <v>15819.191061466097</v>
      </c>
      <c r="H55" s="170">
        <v>11082.435076473323</v>
      </c>
      <c r="I55" s="170">
        <v>15440.901832750988</v>
      </c>
      <c r="J55" s="170">
        <v>11945.896733279804</v>
      </c>
      <c r="K55" s="170">
        <v>16460.69016395691</v>
      </c>
      <c r="L55" s="170">
        <v>12992.861206305523</v>
      </c>
      <c r="M55" s="170">
        <v>11380.228728600825</v>
      </c>
      <c r="N55" s="170">
        <v>11103.425230964298</v>
      </c>
      <c r="O55" s="118">
        <f>SUM(C55:N55)</f>
      </c>
      <c r="P55" s="120">
        <v>0.03</v>
      </c>
      <c r="Q55" s="1"/>
      <c r="R55" s="1"/>
      <c r="S55" s="1"/>
      <c r="T55" s="1"/>
    </row>
    <row r="56">
      <c r="A56" s="118"/>
      <c r="B56" s="90" t="str">
        <v>短信及店铺软件</v>
      </c>
      <c r="C56" s="170">
        <f>C16*$P$56</f>
      </c>
      <c r="D56" s="170">
        <f>D16*$P$56</f>
      </c>
      <c r="E56" s="170">
        <f>E16*$P$56</f>
      </c>
      <c r="F56" s="170">
        <f>F16*$P$56</f>
      </c>
      <c r="G56" s="170">
        <f>G16*$P$56</f>
      </c>
      <c r="H56" s="170">
        <f>H16*$P$56</f>
      </c>
      <c r="I56" s="170">
        <f>I16*$P$56</f>
      </c>
      <c r="J56" s="170">
        <f>J16*$P$56</f>
      </c>
      <c r="K56" s="170">
        <f>K16*$P$56</f>
      </c>
      <c r="L56" s="170">
        <f>L16*$P$56</f>
      </c>
      <c r="M56" s="170">
        <f>M16*$P$56</f>
      </c>
      <c r="N56" s="170">
        <f>N16*$P$56</f>
      </c>
      <c r="O56" s="118">
        <f>SUM(C56:N56)</f>
      </c>
      <c r="P56" s="120">
        <v>0</v>
      </c>
      <c r="Q56" s="1"/>
      <c r="R56" s="1"/>
      <c r="S56" s="1"/>
      <c r="T56" s="1"/>
    </row>
    <row r="57">
      <c r="A57" s="118"/>
      <c r="B57" s="90" t="str">
        <v>其他运营费用（咨询调研等）</v>
      </c>
      <c r="C57" s="170">
        <v>2776.642450150447</v>
      </c>
      <c r="D57" s="170"/>
      <c r="E57" s="170"/>
      <c r="F57" s="170"/>
      <c r="G57" s="170">
        <v>1110.6569800601787</v>
      </c>
      <c r="H57" s="170"/>
      <c r="I57" s="170"/>
      <c r="J57" s="170"/>
      <c r="K57" s="170"/>
      <c r="L57" s="170">
        <v>1110.6569800601787</v>
      </c>
      <c r="M57" s="170"/>
      <c r="N57" s="170">
        <v>3331.9709401805367</v>
      </c>
      <c r="O57" s="118">
        <f>SUM(C57:N57)</f>
      </c>
      <c r="P57" s="120">
        <f>O57/$O$16</f>
      </c>
      <c r="Q57" s="90"/>
      <c r="R57" s="1"/>
      <c r="S57" s="1"/>
      <c r="T57" s="1"/>
    </row>
    <row r="58">
      <c r="A58" s="1"/>
      <c r="B58" s="83" t="str">
        <v>店铺运营费用</v>
      </c>
      <c r="C58" s="115">
        <f>SUM(C53:C57)</f>
      </c>
      <c r="D58" s="115">
        <f>SUM(D53:D57)</f>
      </c>
      <c r="E58" s="115">
        <f>SUM(E53:E57)</f>
      </c>
      <c r="F58" s="115">
        <f>SUM(F53:F57)</f>
      </c>
      <c r="G58" s="115">
        <f>SUM(G53:G57)</f>
      </c>
      <c r="H58" s="115">
        <f>SUM(H53:H57)</f>
      </c>
      <c r="I58" s="115">
        <f>SUM(I53:I57)</f>
      </c>
      <c r="J58" s="115">
        <f>SUM(J53:J57)</f>
      </c>
      <c r="K58" s="115">
        <f>SUM(K53:K57)</f>
      </c>
      <c r="L58" s="115">
        <f>SUM(L53:L57)</f>
      </c>
      <c r="M58" s="115">
        <f>SUM(M53:M57)</f>
      </c>
      <c r="N58" s="115">
        <f>SUM(N53:N57)</f>
      </c>
      <c r="O58" s="115">
        <f>SUM(C58:N58)</f>
      </c>
      <c r="P58" s="116">
        <f>O58/$O$16</f>
      </c>
      <c r="Q58" s="1"/>
      <c r="R58" s="1"/>
      <c r="S58" s="1"/>
      <c r="T58" s="1"/>
    </row>
    <row r="59">
      <c r="A59" s="135"/>
      <c r="B59" s="98" t="str">
        <v>A&amp;P 合计数</v>
      </c>
      <c r="C59" s="98">
        <f>SUM(C52,C58)</f>
      </c>
      <c r="D59" s="98">
        <f>SUM(D52,D58)</f>
      </c>
      <c r="E59" s="98">
        <f>SUM(E52,E58)</f>
      </c>
      <c r="F59" s="98">
        <f>SUM(F52,F58)</f>
      </c>
      <c r="G59" s="98">
        <f>SUM(G52,G58)</f>
      </c>
      <c r="H59" s="98">
        <f>SUM(H52,H58)</f>
      </c>
      <c r="I59" s="98">
        <f>SUM(I52,I58)</f>
      </c>
      <c r="J59" s="98">
        <f>SUM(J52,J58)</f>
      </c>
      <c r="K59" s="98">
        <f>SUM(K52,K58)</f>
      </c>
      <c r="L59" s="98">
        <f>SUM(L52,L58)</f>
      </c>
      <c r="M59" s="98">
        <f>SUM(M52,M58)</f>
      </c>
      <c r="N59" s="98">
        <f>SUM(N52,N58)</f>
      </c>
      <c r="O59" s="98">
        <f>SUM(C59:N59)</f>
      </c>
      <c r="P59" s="162">
        <f>O59/$O$16</f>
      </c>
      <c r="Q59" s="135"/>
      <c r="R59" s="175"/>
      <c r="S59" s="1"/>
      <c r="T59" s="1"/>
    </row>
    <row r="60">
      <c r="A60" s="135"/>
      <c r="B60" s="98" t="str">
        <v>店铺利润</v>
      </c>
      <c r="C60" s="98">
        <f>C22-C59</f>
      </c>
      <c r="D60" s="98">
        <f>D22-D59</f>
      </c>
      <c r="E60" s="98">
        <f>E22-E59</f>
      </c>
      <c r="F60" s="98">
        <f>F22-F59</f>
      </c>
      <c r="G60" s="98">
        <f>G22-G59</f>
      </c>
      <c r="H60" s="98">
        <f>H22-H59</f>
      </c>
      <c r="I60" s="98">
        <f>I22-I59</f>
      </c>
      <c r="J60" s="98">
        <f>J22-J59</f>
      </c>
      <c r="K60" s="98">
        <f>K22-K59</f>
      </c>
      <c r="L60" s="98">
        <f>L22-L59</f>
      </c>
      <c r="M60" s="98">
        <f>M22-M59</f>
      </c>
      <c r="N60" s="98">
        <f>N22-N59</f>
      </c>
      <c r="O60" s="98">
        <f>SUM(C60:N60)</f>
      </c>
      <c r="P60" s="162">
        <f>O60/$O$16</f>
      </c>
      <c r="Q60" s="135"/>
      <c r="R60" s="182"/>
      <c r="S60" s="1"/>
      <c r="T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>
      <c r="A62" s="1"/>
      <c r="B62" s="1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"/>
      <c r="Q62" s="1"/>
      <c r="R62" s="1"/>
      <c r="S62" s="1"/>
      <c r="T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>
      <c r="A82" s="1"/>
      <c r="B82" s="1"/>
      <c r="C82" s="158">
        <f>C16-C18-C20-C26-C37-C44-C47-C58-C60</f>
      </c>
      <c r="D82" s="158">
        <f>D16-D18-D20-D26-D37-D44-D47-D58-D60</f>
      </c>
      <c r="E82" s="158">
        <f>E16-E18-E20-E26-E37-E44-E47-E58-E60</f>
      </c>
      <c r="F82" s="158">
        <f>F16-F18-F20-F26-F37-F44-F47-F58-F60</f>
      </c>
      <c r="G82" s="158">
        <f>G16-G18-G20-G26-G37-G44-G47-G58-G60</f>
      </c>
      <c r="H82" s="158">
        <f>H16-H18-H20-H26-H37-H44-H47-H58-H60</f>
      </c>
      <c r="I82" s="158">
        <f>I16-I18-I20-I26-I37-I44-I47-I58-I60</f>
      </c>
      <c r="J82" s="158">
        <f>J16-J18-J20-J26-J37-J44-J47-J58-J60</f>
      </c>
      <c r="K82" s="158">
        <f>K16-K18-K20-K26-K37-K44-K47-K58-K60</f>
      </c>
      <c r="L82" s="158">
        <f>L16-L18-L20-L26-L37-L44-L47-L58-L60</f>
      </c>
      <c r="M82" s="158">
        <f>M16-M18-M20-M26-M37-M44-M47-M58-M60</f>
      </c>
      <c r="N82" s="158">
        <f>N16-N18-N20-N26-N37-N44-N47-N58-N60</f>
      </c>
      <c r="O82" s="158">
        <f>O16-O18-O20-O26-O37-O44-O47-O58-O60</f>
      </c>
      <c r="P82" s="1"/>
      <c r="Q82" s="1"/>
      <c r="R82" s="1"/>
      <c r="S82" s="1"/>
      <c r="T82" s="1"/>
    </row>
    <row r="83">
      <c r="A83" s="1"/>
      <c r="B83" s="1"/>
      <c r="C83" s="119">
        <f>C10-C11-C12-C13-C15</f>
      </c>
      <c r="D83" s="119">
        <f>D10-D11-D12-D13-D15</f>
      </c>
      <c r="E83" s="119">
        <f>E10-E11-E12-E13-E15</f>
      </c>
      <c r="F83" s="119">
        <f>F10-F11-F12-F13-F15</f>
      </c>
      <c r="G83" s="119">
        <f>G10-G11-G12-G13-G15</f>
      </c>
      <c r="H83" s="119">
        <f>H10-H11-H12-H13-H15</f>
      </c>
      <c r="I83" s="119">
        <f>I10-I11-I12-I13-I15</f>
      </c>
      <c r="J83" s="119">
        <f>J10-J11-J12-J13-J15</f>
      </c>
      <c r="K83" s="119">
        <f>K10-K11-K12-K13-K15</f>
      </c>
      <c r="L83" s="119">
        <f>L10-L11-L12-L13-L15</f>
      </c>
      <c r="M83" s="119">
        <f>M10-M11-M12-M13-M15</f>
      </c>
      <c r="N83" s="119">
        <f>N10-N11-N12-N13-N15</f>
      </c>
      <c r="O83" s="119">
        <f>O10-O11-O12-O13-O15</f>
      </c>
      <c r="P83" s="1"/>
      <c r="Q83" s="1"/>
      <c r="R83" s="1"/>
      <c r="S83" s="1"/>
      <c r="T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</sheetData>
  <picture r:id="rId1"/>
</worksheet>
</file>

<file path=xl/worksheets/sheet27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A1" s="1"/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  <c r="R1" s="1"/>
      <c r="S1" s="1"/>
      <c r="T1" s="1"/>
    </row>
    <row r="2">
      <c r="A2" s="1"/>
      <c r="B2" s="90" t="str">
        <v>退后销量</v>
      </c>
      <c r="C2" s="118">
        <v>305.0108932461874</v>
      </c>
      <c r="D2" s="118">
        <v>326.797385620915</v>
      </c>
      <c r="E2" s="118">
        <v>359.47712418300654</v>
      </c>
      <c r="F2" s="118">
        <v>631.8082788671024</v>
      </c>
      <c r="G2" s="118">
        <v>718.9542483660131</v>
      </c>
      <c r="H2" s="118">
        <v>1764.7058823529412</v>
      </c>
      <c r="I2" s="118">
        <v>2091.503267973856</v>
      </c>
      <c r="J2" s="118">
        <v>2156.8627450980393</v>
      </c>
      <c r="K2" s="118">
        <v>2058.823529411765</v>
      </c>
      <c r="L2" s="118">
        <v>3529.4117647058824</v>
      </c>
      <c r="M2" s="118">
        <v>3660.130718954249</v>
      </c>
      <c r="N2" s="118">
        <v>4422.657952069717</v>
      </c>
      <c r="O2" s="118">
        <f>SUM(C2:N2)</f>
      </c>
      <c r="P2" s="118"/>
      <c r="Q2" s="1"/>
      <c r="R2" s="1"/>
      <c r="S2" s="1"/>
      <c r="T2" s="1"/>
    </row>
    <row r="3">
      <c r="A3" s="135"/>
      <c r="B3" s="94" t="str">
        <v>自补前GMV</v>
      </c>
      <c r="C3" s="94">
        <f>C6/(1-$P$12)</f>
      </c>
      <c r="D3" s="94">
        <f>D6/(1-$P$12)</f>
      </c>
      <c r="E3" s="94">
        <f>E6/(1-$P$12)</f>
      </c>
      <c r="F3" s="94">
        <f>F6/(1-$P$12)</f>
      </c>
      <c r="G3" s="94">
        <f>G6/(1-$P$12)</f>
      </c>
      <c r="H3" s="94">
        <f>H6/(1-$P$12)</f>
      </c>
      <c r="I3" s="94">
        <f>I6/(1-$P$12)</f>
      </c>
      <c r="J3" s="94">
        <f>J6/(1-$P$12)</f>
      </c>
      <c r="K3" s="94">
        <f>K6/(1-$P$12)</f>
      </c>
      <c r="L3" s="94">
        <f>L6/(1-$P$12)</f>
      </c>
      <c r="M3" s="94">
        <f>M6/(1-$P$12)</f>
      </c>
      <c r="N3" s="94">
        <f>N6/(1-$P$12)</f>
      </c>
      <c r="O3" s="94">
        <f>SUM(C3:N3)</f>
      </c>
      <c r="P3" s="94"/>
      <c r="Q3" s="146" t="str">
        <v>渠道填写</v>
      </c>
      <c r="R3" s="1"/>
      <c r="S3" s="1"/>
      <c r="T3" s="1"/>
    </row>
    <row r="4">
      <c r="A4" s="135"/>
      <c r="B4" s="94" t="str">
        <v>自补前GSV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146" t="str">
        <v>渠道填写</v>
      </c>
      <c r="R4" s="1"/>
      <c r="S4" s="1"/>
      <c r="T4" s="1"/>
    </row>
    <row r="5">
      <c r="A5" s="135"/>
      <c r="B5" s="94" t="str">
        <v>国补自补费用</v>
      </c>
      <c r="C5" s="94">
        <f>C3*$P$12</f>
      </c>
      <c r="D5" s="94">
        <f>D3*$P$12</f>
      </c>
      <c r="E5" s="94">
        <f>E3*$P$12</f>
      </c>
      <c r="F5" s="94">
        <f>F3*$P$12</f>
      </c>
      <c r="G5" s="94">
        <f>G3*$P$12</f>
      </c>
      <c r="H5" s="94">
        <f>H3*$P$12</f>
      </c>
      <c r="I5" s="94">
        <f>I3*$P$12</f>
      </c>
      <c r="J5" s="94">
        <f>J3*$P$12</f>
      </c>
      <c r="K5" s="94">
        <f>K3*$P$12</f>
      </c>
      <c r="L5" s="94">
        <f>L3*$P$12</f>
      </c>
      <c r="M5" s="94">
        <f>M3*$P$12</f>
      </c>
      <c r="N5" s="94">
        <f>N3*$P$12</f>
      </c>
      <c r="O5" s="94">
        <f>SUM(C5:N5)</f>
      </c>
      <c r="P5" s="94"/>
      <c r="Q5" s="126" t="str">
        <v>渠道填写</v>
      </c>
      <c r="R5" s="1"/>
      <c r="S5" s="1"/>
      <c r="T5" s="1"/>
    </row>
    <row r="6">
      <c r="A6" s="135"/>
      <c r="B6" s="98" t="str">
        <v>GMV（国补后）</v>
      </c>
      <c r="C6" s="224">
        <f>C8/(1-C7)</f>
      </c>
      <c r="D6" s="224">
        <f>D8/(1-D7)</f>
      </c>
      <c r="E6" s="224">
        <f>E8/(1-E7)</f>
      </c>
      <c r="F6" s="224">
        <f>F8/(1-F7)</f>
      </c>
      <c r="G6" s="224">
        <f>G8/(1-G7)</f>
      </c>
      <c r="H6" s="224">
        <f>H8/(1-H7)</f>
      </c>
      <c r="I6" s="224">
        <f>I8/(1-I7)</f>
      </c>
      <c r="J6" s="224">
        <f>J8/(1-J7)</f>
      </c>
      <c r="K6" s="224">
        <f>K8/(1-K7)</f>
      </c>
      <c r="L6" s="224">
        <f>L8/(1-L7)</f>
      </c>
      <c r="M6" s="224">
        <f>M8/(1-M7)</f>
      </c>
      <c r="N6" s="224">
        <f>N8/(1-N7)</f>
      </c>
      <c r="O6" s="98">
        <f>SUM(C6:N6)</f>
      </c>
      <c r="P6" s="98"/>
      <c r="Q6" s="126" t="str">
        <v>渠道填写</v>
      </c>
      <c r="R6" s="1"/>
      <c r="S6" s="1"/>
      <c r="T6" s="1"/>
    </row>
    <row r="7">
      <c r="A7" s="135"/>
      <c r="B7" s="102" t="str">
        <v>退货率（发货前+后）</v>
      </c>
      <c r="C7" s="102">
        <v>0.05</v>
      </c>
      <c r="D7" s="102">
        <v>0.05</v>
      </c>
      <c r="E7" s="102">
        <v>0.05</v>
      </c>
      <c r="F7" s="102">
        <v>0.05</v>
      </c>
      <c r="G7" s="102">
        <v>0.05</v>
      </c>
      <c r="H7" s="102">
        <v>0.05</v>
      </c>
      <c r="I7" s="102">
        <v>0.05</v>
      </c>
      <c r="J7" s="102">
        <v>0.05</v>
      </c>
      <c r="K7" s="102">
        <v>0.05</v>
      </c>
      <c r="L7" s="102">
        <v>0.05</v>
      </c>
      <c r="M7" s="102">
        <v>0.05</v>
      </c>
      <c r="N7" s="102">
        <v>0.05</v>
      </c>
      <c r="O7" s="102">
        <f>1-O8/O6</f>
      </c>
      <c r="P7" s="102"/>
      <c r="Q7" s="1" t="str">
        <v>渠道填写</v>
      </c>
      <c r="R7" s="1"/>
      <c r="S7" s="1"/>
      <c r="T7" s="1"/>
    </row>
    <row r="8">
      <c r="A8" s="135"/>
      <c r="B8" s="98" t="str">
        <v>GSV（国补后）</v>
      </c>
      <c r="C8" s="98">
        <v>140000</v>
      </c>
      <c r="D8" s="98">
        <v>150000</v>
      </c>
      <c r="E8" s="98">
        <v>165000</v>
      </c>
      <c r="F8" s="98">
        <v>290000</v>
      </c>
      <c r="G8" s="98">
        <v>330000</v>
      </c>
      <c r="H8" s="98">
        <v>810000</v>
      </c>
      <c r="I8" s="98">
        <v>960000</v>
      </c>
      <c r="J8" s="98">
        <v>990000</v>
      </c>
      <c r="K8" s="98">
        <v>945000</v>
      </c>
      <c r="L8" s="98">
        <v>1620000</v>
      </c>
      <c r="M8" s="98">
        <v>1680000.0000000002</v>
      </c>
      <c r="N8" s="98">
        <v>2030000</v>
      </c>
      <c r="O8" s="98">
        <f>SUM(C8:N8)</f>
      </c>
      <c r="P8" s="98"/>
      <c r="Q8" s="1" t="str">
        <v>渠道填写</v>
      </c>
      <c r="R8" s="1"/>
      <c r="S8" s="1"/>
      <c r="T8" s="1"/>
    </row>
    <row r="9">
      <c r="A9" s="1"/>
      <c r="B9" s="90"/>
      <c r="C9" s="88">
        <f>C10-C14-C15</f>
      </c>
      <c r="D9" s="88">
        <f>D10-D14-D15</f>
      </c>
      <c r="E9" s="88">
        <f>E10-E14-E15</f>
      </c>
      <c r="F9" s="88">
        <f>F10-F14-F15</f>
      </c>
      <c r="G9" s="88">
        <f>G10-G14-G15</f>
      </c>
      <c r="H9" s="88">
        <f>H10-H14-H15</f>
      </c>
      <c r="I9" s="88">
        <f>I10-I14-I15</f>
      </c>
      <c r="J9" s="88">
        <f>J10-J14-J15</f>
      </c>
      <c r="K9" s="88">
        <f>K10-K14-K15</f>
      </c>
      <c r="L9" s="88">
        <f>L10-L14-L15</f>
      </c>
      <c r="M9" s="88">
        <f>M10-M14-M15</f>
      </c>
      <c r="N9" s="88">
        <f>N10-N14-N15</f>
      </c>
      <c r="O9" s="88">
        <f>O10-O14-O15</f>
      </c>
      <c r="P9" s="118"/>
      <c r="Q9" s="1"/>
      <c r="R9" s="1"/>
      <c r="S9" s="1"/>
      <c r="T9" s="1"/>
    </row>
    <row r="10">
      <c r="A10" s="135"/>
      <c r="B10" s="98" t="str">
        <v>零售价（去除退货后的）</v>
      </c>
      <c r="C10" s="98">
        <v>155358.84584347825</v>
      </c>
      <c r="D10" s="98">
        <v>174874.59211956523</v>
      </c>
      <c r="E10" s="98">
        <v>176399.2574347826</v>
      </c>
      <c r="F10" s="98">
        <v>341181.86327173916</v>
      </c>
      <c r="G10" s="98">
        <v>372883.763868</v>
      </c>
      <c r="H10" s="98">
        <v>958151.147625</v>
      </c>
      <c r="I10" s="98">
        <v>1114059.144</v>
      </c>
      <c r="J10" s="98">
        <v>1148873.4922500001</v>
      </c>
      <c r="K10" s="98">
        <v>1096654.8639375</v>
      </c>
      <c r="L10" s="98">
        <v>1879975.79775</v>
      </c>
      <c r="M10" s="98">
        <v>1955274.5282000003</v>
      </c>
      <c r="N10" s="98">
        <v>2516949.9409090914</v>
      </c>
      <c r="O10" s="98">
        <f>SUM(C10:N10)</f>
      </c>
      <c r="P10" s="98"/>
      <c r="Q10" s="1"/>
      <c r="R10" s="44"/>
      <c r="S10" s="1"/>
      <c r="T10" s="1"/>
    </row>
    <row r="11">
      <c r="A11" s="1"/>
      <c r="B11" s="85" t="str">
        <v>合同折扣及返利 (线下）</v>
      </c>
      <c r="C11" s="127">
        <f>C10-C15</f>
      </c>
      <c r="D11" s="127">
        <f>D10-D15</f>
      </c>
      <c r="E11" s="127">
        <f>E10-E15</f>
      </c>
      <c r="F11" s="127">
        <f>F10-F15</f>
      </c>
      <c r="G11" s="127">
        <f>G10-G15</f>
      </c>
      <c r="H11" s="127">
        <f>H10-H15</f>
      </c>
      <c r="I11" s="127">
        <f>I10-I15</f>
      </c>
      <c r="J11" s="127">
        <f>J10-J15</f>
      </c>
      <c r="K11" s="127">
        <f>K10-K15</f>
      </c>
      <c r="L11" s="127">
        <f>L10-L15</f>
      </c>
      <c r="M11" s="127">
        <f>M10-M15</f>
      </c>
      <c r="N11" s="127">
        <f>N10-N15</f>
      </c>
      <c r="O11" s="127">
        <f>SUM(C11:N11)</f>
      </c>
      <c r="P11" s="127"/>
      <c r="Q11" s="1" t="str">
        <v>线下渠道填写</v>
      </c>
      <c r="R11" s="44">
        <f>O11/O10</f>
      </c>
      <c r="S11" s="1" t="str">
        <v>零售价-GSV计算D</v>
      </c>
      <c r="T11" s="1"/>
    </row>
    <row r="12">
      <c r="A12" s="1"/>
      <c r="B12" s="85" t="str">
        <v>国补自补 （线上）</v>
      </c>
      <c r="C12" s="127">
        <f>C3*$P$12</f>
      </c>
      <c r="D12" s="127">
        <f>D3*$P$12</f>
      </c>
      <c r="E12" s="127">
        <f>E3*$P$12</f>
      </c>
      <c r="F12" s="127">
        <f>F3*$P$12</f>
      </c>
      <c r="G12" s="127">
        <f>G3*$P$12</f>
      </c>
      <c r="H12" s="127">
        <f>H3*$P$12</f>
      </c>
      <c r="I12" s="127">
        <f>I3*$P$12</f>
      </c>
      <c r="J12" s="127">
        <f>J3*$P$12</f>
      </c>
      <c r="K12" s="127">
        <f>K3*$P$12</f>
      </c>
      <c r="L12" s="127">
        <f>L3*$P$12</f>
      </c>
      <c r="M12" s="127">
        <f>M3*$P$12</f>
      </c>
      <c r="N12" s="127">
        <f>N3*$P$12</f>
      </c>
      <c r="O12" s="127">
        <f>SUM(C12:N12)</f>
      </c>
      <c r="P12" s="173"/>
      <c r="Q12" s="1" t="str">
        <v>渠道填写</v>
      </c>
      <c r="R12" s="54">
        <f>O12/$O$10</f>
      </c>
      <c r="S12" s="1"/>
      <c r="T12" s="1"/>
    </row>
    <row r="13">
      <c r="A13" s="1"/>
      <c r="B13" s="85" t="str">
        <v>红包消费券等促销折扣</v>
      </c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>
        <f>SUM(C13:N13)</f>
      </c>
      <c r="P13" s="127"/>
      <c r="Q13" s="1" t="str">
        <v>渠道填写</v>
      </c>
      <c r="R13" s="54">
        <f>O13/$O$10</f>
      </c>
      <c r="S13" s="1"/>
      <c r="T13" s="1"/>
    </row>
    <row r="14">
      <c r="A14" s="1"/>
      <c r="B14" s="83" t="str">
        <v>TTL 折扣合计</v>
      </c>
      <c r="C14" s="115">
        <f>SUM(C11:C13)</f>
      </c>
      <c r="D14" s="115">
        <f>SUM(D11:D13)</f>
      </c>
      <c r="E14" s="115">
        <f>SUM(E11:E13)</f>
      </c>
      <c r="F14" s="115">
        <f>SUM(F11:F13)</f>
      </c>
      <c r="G14" s="115">
        <f>SUM(G11:G13)</f>
      </c>
      <c r="H14" s="115">
        <f>SUM(H11:H13)</f>
      </c>
      <c r="I14" s="115">
        <f>SUM(I11:I13)</f>
      </c>
      <c r="J14" s="115">
        <f>SUM(J11:J13)</f>
      </c>
      <c r="K14" s="115">
        <f>SUM(K11:K13)</f>
      </c>
      <c r="L14" s="115">
        <f>SUM(L11:L13)</f>
      </c>
      <c r="M14" s="115">
        <f>SUM(M11:M13)</f>
      </c>
      <c r="N14" s="115">
        <f>SUM(N11:N13)</f>
      </c>
      <c r="O14" s="115">
        <f>SUM(C14:N14)</f>
      </c>
      <c r="P14" s="115"/>
      <c r="Q14" s="1"/>
      <c r="R14" s="1"/>
      <c r="S14" s="1"/>
      <c r="T14" s="1"/>
    </row>
    <row r="15">
      <c r="A15" s="135"/>
      <c r="B15" s="98" t="str">
        <v>GSV</v>
      </c>
      <c r="C15" s="98">
        <f>C8</f>
      </c>
      <c r="D15" s="98">
        <f>D8</f>
      </c>
      <c r="E15" s="98">
        <f>E8</f>
      </c>
      <c r="F15" s="98">
        <f>F8</f>
      </c>
      <c r="G15" s="98">
        <f>G8</f>
      </c>
      <c r="H15" s="98">
        <f>H8</f>
      </c>
      <c r="I15" s="98">
        <f>I8</f>
      </c>
      <c r="J15" s="98">
        <f>J8</f>
      </c>
      <c r="K15" s="98">
        <f>K8</f>
      </c>
      <c r="L15" s="98">
        <f>L8</f>
      </c>
      <c r="M15" s="98">
        <f>M8</f>
      </c>
      <c r="N15" s="98">
        <f>N8</f>
      </c>
      <c r="O15" s="98">
        <f>SUM(C15:N15)</f>
      </c>
      <c r="P15" s="98"/>
      <c r="Q15" s="1"/>
      <c r="R15" s="1"/>
      <c r="S15" s="1"/>
      <c r="T15" s="1"/>
    </row>
    <row r="16">
      <c r="A16" s="135"/>
      <c r="B16" s="98" t="str">
        <v>营业收入</v>
      </c>
      <c r="C16" s="98">
        <f>+C8/1.13</f>
      </c>
      <c r="D16" s="98">
        <f>+D8/1.13</f>
      </c>
      <c r="E16" s="98">
        <f>+E8/1.13</f>
      </c>
      <c r="F16" s="98">
        <f>+F8/1.13</f>
      </c>
      <c r="G16" s="98">
        <f>+G8/1.13</f>
      </c>
      <c r="H16" s="98">
        <f>+H8/1.13</f>
      </c>
      <c r="I16" s="98">
        <f>+I8/1.13</f>
      </c>
      <c r="J16" s="98">
        <f>+J8/1.13</f>
      </c>
      <c r="K16" s="98">
        <f>+K8/1.13</f>
      </c>
      <c r="L16" s="98">
        <f>+L8/1.13</f>
      </c>
      <c r="M16" s="98">
        <f>+M8/1.13</f>
      </c>
      <c r="N16" s="98">
        <f>+N8/1.13</f>
      </c>
      <c r="O16" s="98">
        <f>SUM(C16:N16)</f>
      </c>
      <c r="P16" s="98"/>
      <c r="Q16" s="1"/>
      <c r="R16" s="1"/>
      <c r="S16" s="1"/>
      <c r="T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>
      <c r="A18" s="1"/>
      <c r="B18" s="85" t="str">
        <v>标准主品配件成本</v>
      </c>
      <c r="C18" s="127">
        <f>C16*(1-C23)</f>
      </c>
      <c r="D18" s="127">
        <f>D16*(1-D23)</f>
      </c>
      <c r="E18" s="127">
        <f>E16*(1-E23)</f>
      </c>
      <c r="F18" s="127">
        <f>F16*(1-F23)</f>
      </c>
      <c r="G18" s="127">
        <f>G16*(1-G23)</f>
      </c>
      <c r="H18" s="127">
        <f>H16*(1-H23)</f>
      </c>
      <c r="I18" s="127">
        <f>I16*(1-I23)</f>
      </c>
      <c r="J18" s="127">
        <f>J16*(1-J23)</f>
      </c>
      <c r="K18" s="127">
        <f>K16*(1-K23)</f>
      </c>
      <c r="L18" s="127">
        <f>L16*(1-L23)</f>
      </c>
      <c r="M18" s="127">
        <f>M16*(1-M23)</f>
      </c>
      <c r="N18" s="127">
        <f>N16*(1-N23)</f>
      </c>
      <c r="O18" s="127">
        <f>SUM(C18:N18)</f>
      </c>
      <c r="P18" s="128">
        <f>O18/O16</f>
      </c>
      <c r="Q18" s="1"/>
      <c r="R18" s="1"/>
      <c r="S18" s="1"/>
      <c r="T18" s="1"/>
    </row>
    <row r="19">
      <c r="A19" s="1"/>
      <c r="B19" s="83" t="str">
        <v>产品毛利</v>
      </c>
      <c r="C19" s="115">
        <f>C16-C18</f>
      </c>
      <c r="D19" s="115">
        <f>D16-D18</f>
      </c>
      <c r="E19" s="115">
        <f>E16-E18</f>
      </c>
      <c r="F19" s="115">
        <f>F16-F18</f>
      </c>
      <c r="G19" s="115">
        <f>G16-G18</f>
      </c>
      <c r="H19" s="115">
        <f>H16-H18</f>
      </c>
      <c r="I19" s="115">
        <f>I16-I18</f>
      </c>
      <c r="J19" s="115">
        <f>J16-J18</f>
      </c>
      <c r="K19" s="115">
        <f>K16-K18</f>
      </c>
      <c r="L19" s="115">
        <f>L16-L18</f>
      </c>
      <c r="M19" s="115">
        <f>M16-M18</f>
      </c>
      <c r="N19" s="115">
        <f>N16-N18</f>
      </c>
      <c r="O19" s="115">
        <f>SUM(C19:N19)</f>
      </c>
      <c r="P19" s="116">
        <f>O19/$O$16</f>
      </c>
      <c r="Q19" s="1"/>
      <c r="R19" s="1"/>
      <c r="S19" s="1"/>
      <c r="T19" s="1"/>
    </row>
    <row r="20">
      <c r="A20" s="118"/>
      <c r="B20" s="90" t="str">
        <v>头程/尾程物流/仓储费用</v>
      </c>
      <c r="C20" s="118">
        <f>C16*2.5%</f>
      </c>
      <c r="D20" s="118">
        <f>D16*2.5%</f>
      </c>
      <c r="E20" s="118">
        <f>E16*2.5%</f>
      </c>
      <c r="F20" s="118">
        <f>F16*2.5%</f>
      </c>
      <c r="G20" s="118">
        <f>G16*2.5%</f>
      </c>
      <c r="H20" s="118">
        <f>H16*2.5%</f>
      </c>
      <c r="I20" s="118">
        <f>I16*2.5%</f>
      </c>
      <c r="J20" s="118">
        <f>J16*2.5%</f>
      </c>
      <c r="K20" s="118">
        <f>K16*2.5%</f>
      </c>
      <c r="L20" s="118">
        <f>L16*2.5%</f>
      </c>
      <c r="M20" s="118">
        <f>M16*2.5%</f>
      </c>
      <c r="N20" s="118">
        <f>N16*2.5%</f>
      </c>
      <c r="O20" s="118">
        <f>SUM(C20:N20)</f>
      </c>
      <c r="P20" s="120">
        <v>0.025</v>
      </c>
      <c r="Q20" s="1"/>
      <c r="R20" s="1"/>
      <c r="S20" s="1"/>
      <c r="T20" s="1"/>
    </row>
    <row r="21">
      <c r="A21" s="1"/>
      <c r="B21" s="83" t="str">
        <v>成本合计（产品+物流）</v>
      </c>
      <c r="C21" s="115">
        <f>SUM(C18,C20)</f>
      </c>
      <c r="D21" s="115">
        <f>SUM(D18,D20)</f>
      </c>
      <c r="E21" s="115">
        <f>SUM(E18,E20)</f>
      </c>
      <c r="F21" s="115">
        <f>SUM(F18,F20)</f>
      </c>
      <c r="G21" s="115">
        <f>SUM(G18,G20)</f>
      </c>
      <c r="H21" s="115">
        <f>SUM(H18,H20)</f>
      </c>
      <c r="I21" s="115">
        <f>SUM(I18,I20)</f>
      </c>
      <c r="J21" s="115">
        <f>SUM(J18,J20)</f>
      </c>
      <c r="K21" s="115">
        <f>SUM(K18,K20)</f>
      </c>
      <c r="L21" s="115">
        <f>SUM(L18,L20)</f>
      </c>
      <c r="M21" s="115">
        <f>SUM(M18,M20)</f>
      </c>
      <c r="N21" s="115">
        <f>SUM(N18,N20)</f>
      </c>
      <c r="O21" s="115">
        <f>SUM(C21:N21)</f>
      </c>
      <c r="P21" s="116">
        <f>O21/$O$16</f>
      </c>
      <c r="Q21" s="1"/>
      <c r="R21" s="1"/>
      <c r="S21" s="1"/>
      <c r="T21" s="1"/>
    </row>
    <row r="22">
      <c r="A22" s="135"/>
      <c r="B22" s="98" t="str">
        <v>净毛利</v>
      </c>
      <c r="C22" s="98">
        <f>C16-C21</f>
      </c>
      <c r="D22" s="98">
        <f>D16-D21</f>
      </c>
      <c r="E22" s="98">
        <f>E16-E21</f>
      </c>
      <c r="F22" s="98">
        <f>F16-F21</f>
      </c>
      <c r="G22" s="98">
        <f>G16-G21</f>
      </c>
      <c r="H22" s="98">
        <f>H16-H21</f>
      </c>
      <c r="I22" s="98">
        <f>I16-I21</f>
      </c>
      <c r="J22" s="98">
        <f>J16-J21</f>
      </c>
      <c r="K22" s="98">
        <f>K16-K21</f>
      </c>
      <c r="L22" s="98">
        <f>L16-L21</f>
      </c>
      <c r="M22" s="98">
        <f>M16-M21</f>
      </c>
      <c r="N22" s="98">
        <f>N16-N21</f>
      </c>
      <c r="O22" s="98">
        <f>SUM(C22:N22)</f>
      </c>
      <c r="P22" s="162">
        <f>O22/$O$16</f>
      </c>
      <c r="Q22" s="1"/>
      <c r="R22" s="1"/>
      <c r="S22" s="1"/>
      <c r="T22" s="1"/>
    </row>
    <row r="23">
      <c r="A23" s="1"/>
      <c r="B23" s="102" t="str">
        <v>实际产品毛利率</v>
      </c>
      <c r="C23" s="165">
        <v>0.51</v>
      </c>
      <c r="D23" s="165">
        <v>0.52</v>
      </c>
      <c r="E23" s="165">
        <v>0.53</v>
      </c>
      <c r="F23" s="165">
        <v>0.54</v>
      </c>
      <c r="G23" s="165">
        <v>0.55</v>
      </c>
      <c r="H23" s="165">
        <v>0.56</v>
      </c>
      <c r="I23" s="165">
        <v>0.57</v>
      </c>
      <c r="J23" s="165">
        <v>0.59</v>
      </c>
      <c r="K23" s="165">
        <v>0.6</v>
      </c>
      <c r="L23" s="165">
        <v>0.61</v>
      </c>
      <c r="M23" s="165">
        <v>0.62</v>
      </c>
      <c r="N23" s="165">
        <v>0.63</v>
      </c>
      <c r="O23" s="165">
        <f>O19/$O$16</f>
      </c>
      <c r="P23" s="120"/>
      <c r="Q23" s="1"/>
      <c r="R23" s="1"/>
      <c r="S23" s="1"/>
      <c r="T23" s="1"/>
    </row>
    <row r="24">
      <c r="A24" s="1"/>
      <c r="B24" s="102" t="str">
        <v>合计毛利率</v>
      </c>
      <c r="C24" s="165">
        <f>IFERROR(1-C21/C16,0)</f>
      </c>
      <c r="D24" s="165">
        <f>IFERROR(1-D21/D16,0)</f>
      </c>
      <c r="E24" s="165">
        <f>IFERROR(1-E21/E16,0)</f>
      </c>
      <c r="F24" s="165">
        <f>IFERROR(1-F21/F16,0)</f>
      </c>
      <c r="G24" s="165">
        <f>IFERROR(1-G21/G16,0)</f>
      </c>
      <c r="H24" s="165">
        <f>IFERROR(1-H21/H16,0)</f>
      </c>
      <c r="I24" s="165">
        <f>IFERROR(1-I21/I16,0)</f>
      </c>
      <c r="J24" s="165">
        <f>IFERROR(1-J21/J16,0)</f>
      </c>
      <c r="K24" s="165">
        <f>IFERROR(1-K21/K16,0)</f>
      </c>
      <c r="L24" s="165">
        <f>IFERROR(1-L21/L16,0)</f>
      </c>
      <c r="M24" s="165">
        <f>IFERROR(1-M21/M16,0)</f>
      </c>
      <c r="N24" s="165">
        <f>IFERROR(1-N21/N16,0)</f>
      </c>
      <c r="O24" s="165">
        <f>IFERROR(1-O21/O16,0)</f>
      </c>
      <c r="P24" s="120"/>
      <c r="Q24" s="1"/>
      <c r="R24" s="1"/>
      <c r="S24" s="1"/>
      <c r="T24" s="1"/>
    </row>
    <row r="25">
      <c r="A25" s="1"/>
      <c r="B25" s="1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20"/>
      <c r="Q25" s="1"/>
      <c r="R25" s="1"/>
      <c r="S25" s="1"/>
      <c r="T25" s="1"/>
    </row>
    <row r="26">
      <c r="A26" s="1"/>
      <c r="B26" s="85" t="str">
        <v>品牌及内容费用</v>
      </c>
      <c r="C26" s="127">
        <f>SUM(C27:C31)</f>
      </c>
      <c r="D26" s="127">
        <f>SUM(D27:D31)</f>
      </c>
      <c r="E26" s="127">
        <f>SUM(E27:E31)</f>
      </c>
      <c r="F26" s="127">
        <f>SUM(F27:F31)</f>
      </c>
      <c r="G26" s="127">
        <f>SUM(G27:G31)</f>
      </c>
      <c r="H26" s="127">
        <f>SUM(H27:H31)</f>
      </c>
      <c r="I26" s="127">
        <f>SUM(I27:I31)</f>
      </c>
      <c r="J26" s="127">
        <f>SUM(J27:J31)</f>
      </c>
      <c r="K26" s="127">
        <f>SUM(K27:K31)</f>
      </c>
      <c r="L26" s="127">
        <f>SUM(L27:L31)</f>
      </c>
      <c r="M26" s="127">
        <f>SUM(M27:M31)</f>
      </c>
      <c r="N26" s="127">
        <f>SUM(N27:N31)</f>
      </c>
      <c r="O26" s="127">
        <f>SUM(C26:N26)</f>
      </c>
      <c r="P26" s="128">
        <f>O26/$O$16</f>
      </c>
      <c r="Q26" s="1" t="str">
        <v>填写未税</v>
      </c>
      <c r="R26" s="1"/>
      <c r="S26" s="1"/>
      <c r="T26" s="1"/>
    </row>
    <row r="27">
      <c r="A27" s="118"/>
      <c r="B27" s="90" t="str">
        <v>展会</v>
      </c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18">
        <f>SUM(C27:N27)</f>
      </c>
      <c r="P27" s="120">
        <f>O27/$O$16</f>
      </c>
      <c r="Q27" s="1"/>
      <c r="R27" s="1"/>
      <c r="S27" s="1"/>
      <c r="T27" s="1"/>
    </row>
    <row r="28">
      <c r="A28" s="118"/>
      <c r="B28" s="90" t="str">
        <v>品牌营销</v>
      </c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18">
        <f>SUM(C28:N28)</f>
      </c>
      <c r="P28" s="120">
        <f>O28/$O$16</f>
      </c>
      <c r="Q28" s="1"/>
      <c r="R28" s="1"/>
      <c r="S28" s="1"/>
      <c r="T28" s="1"/>
    </row>
    <row r="29">
      <c r="A29" s="118"/>
      <c r="B29" s="90" t="str">
        <v>内容素材制作</v>
      </c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18">
        <f>SUM(C29:N29)</f>
      </c>
      <c r="P29" s="120">
        <f>O29/$O$16</f>
      </c>
      <c r="Q29" s="1"/>
      <c r="R29" s="1"/>
      <c r="S29" s="1"/>
      <c r="T29" s="1"/>
    </row>
    <row r="30">
      <c r="A30" s="118"/>
      <c r="B30" s="90" t="str">
        <v>公关费用</v>
      </c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18">
        <f>SUM(C30:N30)</f>
      </c>
      <c r="P30" s="120">
        <f>O30/$O$16</f>
      </c>
      <c r="Q30" s="1"/>
      <c r="R30" s="1"/>
      <c r="S30" s="1"/>
      <c r="T30" s="1"/>
    </row>
    <row collapsed="true" r="31">
      <c r="A31" s="118"/>
      <c r="B31" s="90" t="str">
        <v>达人种草、样机及加热</v>
      </c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18">
        <f>SUM(C31:N31)</f>
      </c>
      <c r="P31" s="120">
        <f>O31/$O$16</f>
      </c>
      <c r="Q31" s="1"/>
      <c r="R31" s="1"/>
      <c r="S31" s="1"/>
      <c r="T31" s="1"/>
    </row>
    <row hidden="true" outlineLevel="1" r="32">
      <c r="A32" s="118"/>
      <c r="B32" s="90" t="str">
        <v>展会(费率)</v>
      </c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20"/>
      <c r="Q32" s="1"/>
      <c r="R32" s="1"/>
      <c r="S32" s="1"/>
      <c r="T32" s="1"/>
    </row>
    <row hidden="true" outlineLevel="1" r="33">
      <c r="A33" s="118"/>
      <c r="B33" s="90" t="str">
        <v>品牌营销（费率）</v>
      </c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20"/>
      <c r="Q33" s="1"/>
      <c r="R33" s="1"/>
      <c r="S33" s="1"/>
      <c r="T33" s="1"/>
    </row>
    <row hidden="true" outlineLevel="1" r="34">
      <c r="A34" s="118"/>
      <c r="B34" s="90" t="str">
        <v>内容素材制作（费率）</v>
      </c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20"/>
      <c r="Q34" s="1"/>
      <c r="R34" s="1"/>
      <c r="S34" s="1"/>
      <c r="T34" s="1"/>
    </row>
    <row hidden="true" outlineLevel="1" r="35">
      <c r="A35" s="118"/>
      <c r="B35" s="90" t="str">
        <v>公关费用（费率）</v>
      </c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20"/>
      <c r="Q35" s="1"/>
      <c r="R35" s="1"/>
      <c r="S35" s="1"/>
      <c r="T35" s="1"/>
    </row>
    <row hidden="true" outlineLevel="1" r="36">
      <c r="A36" s="118"/>
      <c r="B36" s="90" t="str">
        <v>达人种草、样机及加热（费率）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18"/>
      <c r="P36" s="120"/>
      <c r="Q36" s="1"/>
      <c r="R36" s="1"/>
      <c r="S36" s="1"/>
      <c r="T36" s="1"/>
    </row>
    <row r="37">
      <c r="A37" s="1"/>
      <c r="B37" s="85" t="str">
        <v>效果广告</v>
      </c>
      <c r="C37" s="127">
        <f>SUM(C38:C40)</f>
      </c>
      <c r="D37" s="127">
        <f>SUM(D38:D40)</f>
      </c>
      <c r="E37" s="127">
        <f>SUM(E38:E40)</f>
      </c>
      <c r="F37" s="127">
        <f>SUM(F38:F40)</f>
      </c>
      <c r="G37" s="127">
        <f>SUM(G38:G40)</f>
      </c>
      <c r="H37" s="127">
        <f>SUM(H38:H40)</f>
      </c>
      <c r="I37" s="127">
        <f>SUM(I38:I40)</f>
      </c>
      <c r="J37" s="127">
        <f>SUM(J38:J40)</f>
      </c>
      <c r="K37" s="127">
        <f>SUM(K38:K40)</f>
      </c>
      <c r="L37" s="127">
        <f>SUM(L38:L40)</f>
      </c>
      <c r="M37" s="127">
        <f>SUM(M38:M40)</f>
      </c>
      <c r="N37" s="127">
        <f>SUM(N38:N40)</f>
      </c>
      <c r="O37" s="127">
        <f>SUM(C37:N37)</f>
      </c>
      <c r="P37" s="128">
        <f>O37/$O$16</f>
      </c>
      <c r="Q37" s="1" t="str">
        <v>填写未税</v>
      </c>
      <c r="R37" s="1"/>
      <c r="S37" s="1"/>
      <c r="T37" s="1"/>
    </row>
    <row r="38">
      <c r="A38" s="118"/>
      <c r="B38" s="90" t="str">
        <v>站内投放</v>
      </c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18">
        <f>SUM(C38:N38)</f>
      </c>
      <c r="P38" s="120">
        <f>O38/$O$16</f>
      </c>
      <c r="Q38" s="1" t="str">
        <v>投放填写</v>
      </c>
      <c r="R38" s="1"/>
      <c r="S38" s="1"/>
      <c r="T38" s="1"/>
    </row>
    <row r="39">
      <c r="A39" s="118"/>
      <c r="B39" s="90" t="str">
        <v>千川投放</v>
      </c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18">
        <f>SUM(C39:N39)</f>
      </c>
      <c r="P39" s="120">
        <f>O39/$O$16</f>
      </c>
      <c r="Q39" s="1" t="str">
        <v>投放填写</v>
      </c>
      <c r="R39" s="1"/>
      <c r="S39" s="1"/>
      <c r="T39" s="1"/>
    </row>
    <row collapsed="true" r="40">
      <c r="A40" s="118"/>
      <c r="B40" s="90" t="str">
        <v>站外投放</v>
      </c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18">
        <f>SUM(C40:N40)</f>
      </c>
      <c r="P40" s="120">
        <f>O40/$O$16</f>
      </c>
      <c r="Q40" s="1" t="str">
        <v>投放填写</v>
      </c>
      <c r="R40" s="1"/>
      <c r="S40" s="1"/>
      <c r="T40" s="1"/>
    </row>
    <row hidden="true" outlineLevel="1" r="41">
      <c r="A41" s="118"/>
      <c r="B41" s="90" t="str">
        <v>站内投放（费率）</v>
      </c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20">
        <f>O38/$O$16</f>
      </c>
      <c r="P41" s="1"/>
      <c r="Q41" s="1" t="str">
        <v>投放填写</v>
      </c>
      <c r="R41" s="1"/>
      <c r="S41" s="1"/>
      <c r="T41" s="1"/>
    </row>
    <row hidden="true" outlineLevel="1" r="42">
      <c r="A42" s="118"/>
      <c r="B42" s="90" t="str">
        <v>千川投放（费率）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20">
        <f>O39/$O$16</f>
      </c>
      <c r="P42" s="1"/>
      <c r="Q42" s="1" t="str">
        <v>投放填写</v>
      </c>
      <c r="R42" s="1"/>
      <c r="S42" s="1"/>
      <c r="T42" s="1"/>
    </row>
    <row hidden="true" outlineLevel="1" r="43">
      <c r="A43" s="118"/>
      <c r="B43" s="90" t="str">
        <v>站外投放（费率）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20">
        <f>O40/$O$16</f>
      </c>
      <c r="P43" s="1"/>
      <c r="Q43" s="1" t="str">
        <v>投放填写</v>
      </c>
      <c r="R43" s="1"/>
      <c r="S43" s="1"/>
      <c r="T43" s="1"/>
    </row>
    <row r="44">
      <c r="A44" s="1"/>
      <c r="B44" s="85" t="str">
        <v>线上营销费用</v>
      </c>
      <c r="C44" s="127">
        <f>SUM(C45:C46)</f>
      </c>
      <c r="D44" s="127">
        <f>SUM(D45:D46)</f>
      </c>
      <c r="E44" s="127">
        <f>SUM(E45:E46)</f>
      </c>
      <c r="F44" s="127">
        <f>SUM(F45:F46)</f>
      </c>
      <c r="G44" s="127">
        <f>SUM(G45:G46)</f>
      </c>
      <c r="H44" s="127">
        <f>SUM(H45:H46)</f>
      </c>
      <c r="I44" s="127">
        <f>SUM(I45:I46)</f>
      </c>
      <c r="J44" s="127">
        <f>SUM(J45:J46)</f>
      </c>
      <c r="K44" s="127">
        <f>SUM(K45:K46)</f>
      </c>
      <c r="L44" s="127">
        <f>SUM(L45:L46)</f>
      </c>
      <c r="M44" s="127">
        <f>SUM(M45:M46)</f>
      </c>
      <c r="N44" s="127">
        <f>SUM(N45:N46)</f>
      </c>
      <c r="O44" s="127">
        <f>SUM(C44:N44)</f>
      </c>
      <c r="P44" s="128">
        <f>O44/$O$16</f>
      </c>
      <c r="Q44" s="1" t="str">
        <v>填写未税</v>
      </c>
      <c r="R44" s="1"/>
      <c r="S44" s="1"/>
      <c r="T44" s="1"/>
    </row>
    <row r="45">
      <c r="A45" s="118"/>
      <c r="B45" s="90" t="str">
        <v>直播费用</v>
      </c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18">
        <f>SUM(C45:N45)</f>
      </c>
      <c r="P45" s="120">
        <v>0.01</v>
      </c>
      <c r="Q45" s="1" t="str">
        <v>达人填写</v>
      </c>
      <c r="R45" s="1"/>
      <c r="S45" s="1"/>
      <c r="T45" s="1"/>
    </row>
    <row r="46">
      <c r="A46" s="118"/>
      <c r="B46" s="90" t="str">
        <v>赠品费用</v>
      </c>
      <c r="C46" s="170">
        <f>C16*$P$46</f>
      </c>
      <c r="D46" s="170">
        <f>D16*$P$46</f>
      </c>
      <c r="E46" s="170">
        <f>E16*$P$46</f>
      </c>
      <c r="F46" s="170">
        <f>F16*$P$46</f>
      </c>
      <c r="G46" s="170">
        <f>G16*$P$46</f>
      </c>
      <c r="H46" s="170">
        <f>H16*$P$46</f>
      </c>
      <c r="I46" s="170">
        <f>I16*$P$46</f>
      </c>
      <c r="J46" s="170">
        <f>J16*$P$46</f>
      </c>
      <c r="K46" s="170">
        <f>K16*$P$46</f>
      </c>
      <c r="L46" s="170">
        <f>L16*$P$46</f>
      </c>
      <c r="M46" s="170">
        <f>M16*$P$46</f>
      </c>
      <c r="N46" s="170">
        <f>N16*$P$46</f>
      </c>
      <c r="O46" s="118">
        <f>SUM(C46:N46)</f>
      </c>
      <c r="P46" s="120">
        <v>0.02</v>
      </c>
      <c r="Q46" s="90" t="str">
        <v>渠道填写</v>
      </c>
      <c r="R46" s="1"/>
      <c r="S46" s="1"/>
      <c r="T46" s="1"/>
    </row>
    <row r="47">
      <c r="A47" s="1"/>
      <c r="B47" s="85" t="str">
        <v>线下市场费用</v>
      </c>
      <c r="C47" s="127">
        <f>SUM(C48:C51)</f>
      </c>
      <c r="D47" s="127">
        <f>SUM(D48:D51)</f>
      </c>
      <c r="E47" s="127">
        <f>SUM(E48:E51)</f>
      </c>
      <c r="F47" s="127">
        <f>SUM(F48:F51)</f>
      </c>
      <c r="G47" s="127">
        <f>SUM(G48:G51)</f>
      </c>
      <c r="H47" s="127">
        <f>SUM(H48:H51)</f>
      </c>
      <c r="I47" s="127">
        <f>SUM(I48:I51)</f>
      </c>
      <c r="J47" s="127">
        <f>SUM(J48:J51)</f>
      </c>
      <c r="K47" s="127">
        <f>SUM(K48:K51)</f>
      </c>
      <c r="L47" s="127">
        <f>SUM(L48:L51)</f>
      </c>
      <c r="M47" s="127">
        <f>SUM(M48:M51)</f>
      </c>
      <c r="N47" s="127">
        <f>SUM(N48:N51)</f>
      </c>
      <c r="O47" s="127">
        <f>SUM(C47:N47)</f>
      </c>
      <c r="P47" s="128">
        <f>O47/$O$16</f>
      </c>
      <c r="Q47" s="1" t="str">
        <v>填写未税</v>
      </c>
      <c r="R47" s="1"/>
      <c r="S47" s="1"/>
      <c r="T47" s="1"/>
    </row>
    <row r="48">
      <c r="A48" s="118"/>
      <c r="B48" s="90" t="str">
        <v>线下渠道展陈、促销费用</v>
      </c>
      <c r="C48" s="170">
        <f>C6*0.35/1.06</f>
      </c>
      <c r="D48" s="170">
        <f>D6*0.35/1.06</f>
      </c>
      <c r="E48" s="170">
        <f>E6*0.35/1.06</f>
      </c>
      <c r="F48" s="170">
        <f>F6*0.35/1.06</f>
      </c>
      <c r="G48" s="170">
        <f>G6*0.35/1.06</f>
      </c>
      <c r="H48" s="170">
        <f>H6*0.35/1.06</f>
      </c>
      <c r="I48" s="170">
        <f>I6*0.35/1.06</f>
      </c>
      <c r="J48" s="170">
        <f>J6*0.35/1.06</f>
      </c>
      <c r="K48" s="170">
        <f>K6*0.35/1.06</f>
      </c>
      <c r="L48" s="170">
        <f>L6*0.35/1.06</f>
      </c>
      <c r="M48" s="170">
        <f>M6*0.35/1.06</f>
      </c>
      <c r="N48" s="170">
        <f>N6*0.35/1.06</f>
      </c>
      <c r="O48" s="118">
        <f>SUM(C48:N48)</f>
      </c>
      <c r="P48" s="120">
        <f>O48/$O$16</f>
      </c>
      <c r="Q48" s="90" t="str">
        <v>线下门店</v>
      </c>
      <c r="R48" s="1"/>
      <c r="S48" s="1"/>
      <c r="T48" s="1"/>
    </row>
    <row r="49">
      <c r="A49" s="118"/>
      <c r="B49" s="90" t="str">
        <v>租金+物业+水电</v>
      </c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18">
        <f>SUM(C49:N49)</f>
      </c>
      <c r="P49" s="120">
        <f>O49/$O$16</f>
      </c>
      <c r="Q49" s="90" t="str">
        <v>线下门店</v>
      </c>
      <c r="R49" s="1"/>
      <c r="S49" s="1"/>
      <c r="T49" s="1"/>
    </row>
    <row r="50">
      <c r="A50" s="118"/>
      <c r="B50" s="90" t="str">
        <v>门店人工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18">
        <f>SUM(C50:N50)</f>
      </c>
      <c r="P50" s="120">
        <f>O50/$O$16</f>
      </c>
      <c r="Q50" s="90" t="str">
        <v>线下门店</v>
      </c>
      <c r="R50" s="1"/>
      <c r="S50" s="1"/>
      <c r="T50" s="1"/>
    </row>
    <row r="51">
      <c r="A51" s="1"/>
      <c r="B51" s="90" t="str">
        <v>门店展陈装修等其他</v>
      </c>
      <c r="C51" s="170">
        <v>0</v>
      </c>
      <c r="D51" s="170">
        <v>0</v>
      </c>
      <c r="E51" s="170">
        <v>5500.000000000001</v>
      </c>
      <c r="F51" s="170">
        <v>16916.666666666668</v>
      </c>
      <c r="G51" s="170">
        <v>27500</v>
      </c>
      <c r="H51" s="170">
        <v>51750</v>
      </c>
      <c r="I51" s="170">
        <v>66000</v>
      </c>
      <c r="J51" s="170">
        <v>66000</v>
      </c>
      <c r="K51" s="170">
        <v>73500</v>
      </c>
      <c r="L51" s="170">
        <v>123750</v>
      </c>
      <c r="M51" s="170">
        <v>142333.33333333334</v>
      </c>
      <c r="N51" s="170">
        <v>178833.3333333333</v>
      </c>
      <c r="O51" s="118">
        <f>SUM(C51:N51)</f>
      </c>
      <c r="P51" s="120">
        <f>O51/$O$16</f>
      </c>
      <c r="Q51" s="90" t="str">
        <v>线下门店</v>
      </c>
      <c r="R51" s="1"/>
      <c r="S51" s="1"/>
      <c r="T51" s="1"/>
    </row>
    <row r="52">
      <c r="A52" s="1"/>
      <c r="B52" s="83" t="str">
        <v>市场投入费用</v>
      </c>
      <c r="C52" s="115">
        <f>SUM(C26,C37,C44,C47)</f>
      </c>
      <c r="D52" s="115">
        <f>SUM(D26,D37,D44,D47)</f>
      </c>
      <c r="E52" s="115">
        <f>SUM(E26,E37,E44,E47)</f>
      </c>
      <c r="F52" s="115">
        <f>SUM(F26,F37,F44,F47)</f>
      </c>
      <c r="G52" s="115">
        <f>SUM(G26,G37,G44,G47)</f>
      </c>
      <c r="H52" s="115">
        <f>SUM(H26,H37,H44,H47)</f>
      </c>
      <c r="I52" s="115">
        <f>SUM(I26,I37,I44,I47)</f>
      </c>
      <c r="J52" s="115">
        <f>SUM(J26,J37,J44,J47)</f>
      </c>
      <c r="K52" s="115">
        <f>SUM(K26,K37,K44,K47)</f>
      </c>
      <c r="L52" s="115">
        <f>SUM(L26,L37,L44,L47)</f>
      </c>
      <c r="M52" s="115">
        <f>SUM(M26,M37,M44,M47)</f>
      </c>
      <c r="N52" s="115">
        <f>SUM(N26,N37,N44,N47)</f>
      </c>
      <c r="O52" s="115">
        <f>SUM(C52:N52)</f>
      </c>
      <c r="P52" s="116">
        <f>O52/$O$16</f>
      </c>
      <c r="Q52" s="1" t="str">
        <v>填写未税</v>
      </c>
      <c r="R52" s="1"/>
      <c r="S52" s="1"/>
      <c r="T52" s="1"/>
    </row>
    <row r="53">
      <c r="A53" s="118"/>
      <c r="B53" s="90" t="str">
        <v>平台佣金</v>
      </c>
      <c r="C53" s="170">
        <f>C16*$P$53</f>
      </c>
      <c r="D53" s="170">
        <f>D16*$P$53</f>
      </c>
      <c r="E53" s="170">
        <f>E16*$P$53</f>
      </c>
      <c r="F53" s="170">
        <f>F16*$P$53</f>
      </c>
      <c r="G53" s="170">
        <f>G16*$P$53</f>
      </c>
      <c r="H53" s="170">
        <f>H16*$P$53</f>
      </c>
      <c r="I53" s="170">
        <f>I16*$P$53</f>
      </c>
      <c r="J53" s="170">
        <f>J16*$P$53</f>
      </c>
      <c r="K53" s="170">
        <f>K16*$P$53</f>
      </c>
      <c r="L53" s="170">
        <f>L16*$P$53</f>
      </c>
      <c r="M53" s="170">
        <f>M16*$P$53</f>
      </c>
      <c r="N53" s="170">
        <f>N16*$P$53</f>
      </c>
      <c r="O53" s="118">
        <f>SUM(C53:N53)</f>
      </c>
      <c r="P53" s="120">
        <v>0</v>
      </c>
      <c r="Q53" s="1"/>
      <c r="R53" s="1"/>
      <c r="S53" s="1"/>
      <c r="T53" s="1"/>
    </row>
    <row r="54">
      <c r="A54" s="118"/>
      <c r="B54" s="90" t="str">
        <v>平台其他费用</v>
      </c>
      <c r="C54" s="170">
        <f>C16*$P$54</f>
      </c>
      <c r="D54" s="170">
        <f>D16*$P$54</f>
      </c>
      <c r="E54" s="170">
        <f>E16*$P$54</f>
      </c>
      <c r="F54" s="170">
        <f>F16*$P$54</f>
      </c>
      <c r="G54" s="170">
        <f>G16*$P$54</f>
      </c>
      <c r="H54" s="170">
        <f>H16*$P$54</f>
      </c>
      <c r="I54" s="170">
        <f>I16*$P$54</f>
      </c>
      <c r="J54" s="170">
        <f>J16*$P$54</f>
      </c>
      <c r="K54" s="170">
        <f>K16*$P$54</f>
      </c>
      <c r="L54" s="170">
        <f>L16*$P$54</f>
      </c>
      <c r="M54" s="170">
        <f>M16*$P$54</f>
      </c>
      <c r="N54" s="170">
        <f>N16*$P$54</f>
      </c>
      <c r="O54" s="118">
        <f>SUM(C54:N54)</f>
      </c>
      <c r="P54" s="120">
        <v>0</v>
      </c>
      <c r="Q54" s="1"/>
      <c r="R54" s="1"/>
      <c r="S54" s="1"/>
      <c r="T54" s="1"/>
    </row>
    <row r="55">
      <c r="A55" s="118"/>
      <c r="B55" s="90" t="str">
        <v>售后费用</v>
      </c>
      <c r="C55" s="170">
        <v>41250.56296930321</v>
      </c>
      <c r="D55" s="170">
        <v>26974.208453183117</v>
      </c>
      <c r="E55" s="170">
        <v>21039.672538000003</v>
      </c>
      <c r="F55" s="170">
        <v>32378.861843231476</v>
      </c>
      <c r="G55" s="170">
        <v>27806.87541499916</v>
      </c>
      <c r="H55" s="170">
        <v>19480.635278309222</v>
      </c>
      <c r="I55" s="170">
        <v>27141.920967401617</v>
      </c>
      <c r="J55" s="170">
        <v>20998.42279494987</v>
      </c>
      <c r="K55" s="170">
        <v>28934.498537602918</v>
      </c>
      <c r="L55" s="170">
        <v>22838.770417798438</v>
      </c>
      <c r="M55" s="170">
        <v>20004.095103271953</v>
      </c>
      <c r="N55" s="170">
        <v>19517.53164099959</v>
      </c>
      <c r="O55" s="118">
        <f>SUM(C55:N55)</f>
      </c>
      <c r="P55" s="120">
        <v>0.03</v>
      </c>
      <c r="Q55" s="1"/>
      <c r="R55" s="1"/>
      <c r="S55" s="1"/>
      <c r="T55" s="1"/>
    </row>
    <row r="56">
      <c r="A56" s="118"/>
      <c r="B56" s="90" t="str">
        <v>短信及店铺软件</v>
      </c>
      <c r="C56" s="170">
        <f>C16*$P$56</f>
      </c>
      <c r="D56" s="170">
        <f>D16*$P$56</f>
      </c>
      <c r="E56" s="170">
        <f>E16*$P$56</f>
      </c>
      <c r="F56" s="170">
        <f>F16*$P$56</f>
      </c>
      <c r="G56" s="170">
        <f>G16*$P$56</f>
      </c>
      <c r="H56" s="170">
        <f>H16*$P$56</f>
      </c>
      <c r="I56" s="170">
        <f>I16*$P$56</f>
      </c>
      <c r="J56" s="170">
        <f>J16*$P$56</f>
      </c>
      <c r="K56" s="170">
        <f>K16*$P$56</f>
      </c>
      <c r="L56" s="170">
        <f>L16*$P$56</f>
      </c>
      <c r="M56" s="170">
        <f>M16*$P$56</f>
      </c>
      <c r="N56" s="170">
        <f>N16*$P$56</f>
      </c>
      <c r="O56" s="118">
        <f>SUM(C56:N56)</f>
      </c>
      <c r="P56" s="120">
        <v>0</v>
      </c>
      <c r="Q56" s="1"/>
      <c r="R56" s="1"/>
      <c r="S56" s="1"/>
      <c r="T56" s="1"/>
    </row>
    <row r="57">
      <c r="A57" s="118"/>
      <c r="B57" s="90" t="str">
        <v>其他运营费用（咨询调研等）</v>
      </c>
      <c r="C57" s="170">
        <v>4880.764786475485</v>
      </c>
      <c r="D57" s="170"/>
      <c r="E57" s="170"/>
      <c r="F57" s="170"/>
      <c r="G57" s="170">
        <v>1952.305914590194</v>
      </c>
      <c r="H57" s="170"/>
      <c r="I57" s="170"/>
      <c r="J57" s="170"/>
      <c r="K57" s="170"/>
      <c r="L57" s="170">
        <v>1952.305914590194</v>
      </c>
      <c r="M57" s="170"/>
      <c r="N57" s="170">
        <v>5856.917743770583</v>
      </c>
      <c r="O57" s="118">
        <f>SUM(C57:N57)</f>
      </c>
      <c r="P57" s="120">
        <f>O57/$O$16</f>
      </c>
      <c r="Q57" s="90"/>
      <c r="R57" s="1"/>
      <c r="S57" s="1"/>
      <c r="T57" s="1"/>
    </row>
    <row r="58">
      <c r="A58" s="1"/>
      <c r="B58" s="83" t="str">
        <v>店铺运营费用</v>
      </c>
      <c r="C58" s="115">
        <f>SUM(C53:C57)</f>
      </c>
      <c r="D58" s="115">
        <f>SUM(D53:D57)</f>
      </c>
      <c r="E58" s="115">
        <f>SUM(E53:E57)</f>
      </c>
      <c r="F58" s="115">
        <f>SUM(F53:F57)</f>
      </c>
      <c r="G58" s="115">
        <f>SUM(G53:G57)</f>
      </c>
      <c r="H58" s="115">
        <f>SUM(H53:H57)</f>
      </c>
      <c r="I58" s="115">
        <f>SUM(I53:I57)</f>
      </c>
      <c r="J58" s="115">
        <f>SUM(J53:J57)</f>
      </c>
      <c r="K58" s="115">
        <f>SUM(K53:K57)</f>
      </c>
      <c r="L58" s="115">
        <f>SUM(L53:L57)</f>
      </c>
      <c r="M58" s="115">
        <f>SUM(M53:M57)</f>
      </c>
      <c r="N58" s="115">
        <f>SUM(N53:N57)</f>
      </c>
      <c r="O58" s="115">
        <f>SUM(C58:N58)</f>
      </c>
      <c r="P58" s="116">
        <f>O58/$O$16</f>
      </c>
      <c r="Q58" s="1"/>
      <c r="R58" s="1"/>
      <c r="S58" s="1"/>
      <c r="T58" s="1"/>
    </row>
    <row r="59">
      <c r="A59" s="135"/>
      <c r="B59" s="98" t="str">
        <v>A&amp;P 合计数</v>
      </c>
      <c r="C59" s="98">
        <f>SUM(C52,C58)</f>
      </c>
      <c r="D59" s="98">
        <f>SUM(D52,D58)</f>
      </c>
      <c r="E59" s="98">
        <f>SUM(E52,E58)</f>
      </c>
      <c r="F59" s="98">
        <f>SUM(F52,F58)</f>
      </c>
      <c r="G59" s="98">
        <f>SUM(G52,G58)</f>
      </c>
      <c r="H59" s="98">
        <f>SUM(H52,H58)</f>
      </c>
      <c r="I59" s="98">
        <f>SUM(I52,I58)</f>
      </c>
      <c r="J59" s="98">
        <f>SUM(J52,J58)</f>
      </c>
      <c r="K59" s="98">
        <f>SUM(K52,K58)</f>
      </c>
      <c r="L59" s="98">
        <f>SUM(L52,L58)</f>
      </c>
      <c r="M59" s="98">
        <f>SUM(M52,M58)</f>
      </c>
      <c r="N59" s="98">
        <f>SUM(N52,N58)</f>
      </c>
      <c r="O59" s="98">
        <f>SUM(C59:N59)</f>
      </c>
      <c r="P59" s="162">
        <f>O59/$O$16</f>
      </c>
      <c r="Q59" s="135"/>
      <c r="R59" s="175"/>
      <c r="S59" s="1"/>
      <c r="T59" s="1"/>
    </row>
    <row r="60">
      <c r="A60" s="135"/>
      <c r="B60" s="98" t="str">
        <v>店铺利润</v>
      </c>
      <c r="C60" s="98">
        <f>C22-C59</f>
      </c>
      <c r="D60" s="98">
        <f>D22-D59</f>
      </c>
      <c r="E60" s="98">
        <f>E22-E59</f>
      </c>
      <c r="F60" s="98">
        <f>F22-F59</f>
      </c>
      <c r="G60" s="98">
        <f>G22-G59</f>
      </c>
      <c r="H60" s="98">
        <f>H22-H59</f>
      </c>
      <c r="I60" s="98">
        <f>I22-I59</f>
      </c>
      <c r="J60" s="98">
        <f>J22-J59</f>
      </c>
      <c r="K60" s="98">
        <f>K22-K59</f>
      </c>
      <c r="L60" s="98">
        <f>L22-L59</f>
      </c>
      <c r="M60" s="98">
        <f>M22-M59</f>
      </c>
      <c r="N60" s="98">
        <f>N22-N59</f>
      </c>
      <c r="O60" s="98">
        <f>SUM(C60:N60)</f>
      </c>
      <c r="P60" s="162">
        <f>O60/$O$16</f>
      </c>
      <c r="Q60" s="135"/>
      <c r="R60" s="182"/>
      <c r="S60" s="1"/>
      <c r="T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>
      <c r="A62" s="1"/>
      <c r="B62" s="1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"/>
      <c r="Q62" s="1"/>
      <c r="R62" s="1"/>
      <c r="S62" s="1"/>
      <c r="T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>
      <c r="A82" s="1"/>
      <c r="B82" s="1"/>
      <c r="C82" s="158">
        <f>C16-C18-C20-C26-C37-C44-C47-C58-C60</f>
      </c>
      <c r="D82" s="158">
        <f>D16-D18-D20-D26-D37-D44-D47-D58-D60</f>
      </c>
      <c r="E82" s="158">
        <f>E16-E18-E20-E26-E37-E44-E47-E58-E60</f>
      </c>
      <c r="F82" s="158">
        <f>F16-F18-F20-F26-F37-F44-F47-F58-F60</f>
      </c>
      <c r="G82" s="158">
        <f>G16-G18-G20-G26-G37-G44-G47-G58-G60</f>
      </c>
      <c r="H82" s="158">
        <f>H16-H18-H20-H26-H37-H44-H47-H58-H60</f>
      </c>
      <c r="I82" s="158">
        <f>I16-I18-I20-I26-I37-I44-I47-I58-I60</f>
      </c>
      <c r="J82" s="158">
        <f>J16-J18-J20-J26-J37-J44-J47-J58-J60</f>
      </c>
      <c r="K82" s="158">
        <f>K16-K18-K20-K26-K37-K44-K47-K58-K60</f>
      </c>
      <c r="L82" s="158">
        <f>L16-L18-L20-L26-L37-L44-L47-L58-L60</f>
      </c>
      <c r="M82" s="158">
        <f>M16-M18-M20-M26-M37-M44-M47-M58-M60</f>
      </c>
      <c r="N82" s="158">
        <f>N16-N18-N20-N26-N37-N44-N47-N58-N60</f>
      </c>
      <c r="O82" s="158">
        <f>O16-O18-O20-O26-O37-O44-O47-O58-O60</f>
      </c>
      <c r="P82" s="1"/>
      <c r="Q82" s="1"/>
      <c r="R82" s="1"/>
      <c r="S82" s="1"/>
      <c r="T82" s="1"/>
    </row>
    <row r="83">
      <c r="A83" s="1"/>
      <c r="B83" s="1"/>
      <c r="C83" s="119">
        <f>C10-C11-C12-C13-C15</f>
      </c>
      <c r="D83" s="119">
        <f>D10-D11-D12-D13-D15</f>
      </c>
      <c r="E83" s="119">
        <f>E10-E11-E12-E13-E15</f>
      </c>
      <c r="F83" s="119">
        <f>F10-F11-F12-F13-F15</f>
      </c>
      <c r="G83" s="119">
        <f>G10-G11-G12-G13-G15</f>
      </c>
      <c r="H83" s="119">
        <f>H10-H11-H12-H13-H15</f>
      </c>
      <c r="I83" s="119">
        <f>I10-I11-I12-I13-I15</f>
      </c>
      <c r="J83" s="119">
        <f>J10-J11-J12-J13-J15</f>
      </c>
      <c r="K83" s="119">
        <f>K10-K11-K12-K13-K15</f>
      </c>
      <c r="L83" s="119">
        <f>L10-L11-L12-L13-L15</f>
      </c>
      <c r="M83" s="119">
        <f>M10-M11-M12-M13-M15</f>
      </c>
      <c r="N83" s="119">
        <f>N10-N11-N12-N13-N15</f>
      </c>
      <c r="O83" s="119">
        <f>O10-O11-O12-O13-O15</f>
      </c>
      <c r="P83" s="1"/>
      <c r="Q83" s="1"/>
      <c r="R83" s="1"/>
      <c r="S83" s="1"/>
      <c r="T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</sheetData>
  <picture r:id="rId1"/>
</worksheet>
</file>

<file path=xl/worksheets/sheet28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>
      <pane state="frozen" topLeftCell="C2" xSplit="2" ySplit="1"/>
    </sheetView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A1" s="1"/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  <c r="R1" s="1"/>
      <c r="S1" s="1"/>
      <c r="T1" s="1"/>
    </row>
    <row r="2">
      <c r="A2" s="1"/>
      <c r="B2" s="90" t="str">
        <v>退后销量</v>
      </c>
      <c r="C2" s="118">
        <v>11154.752636340983</v>
      </c>
      <c r="D2" s="118">
        <v>10174.115041937379</v>
      </c>
      <c r="E2" s="118">
        <v>11890.230832143685</v>
      </c>
      <c r="F2" s="118">
        <v>9867.665793686254</v>
      </c>
      <c r="G2" s="118">
        <v>17222.447751713276</v>
      </c>
      <c r="H2" s="118">
        <v>14893.433465004719</v>
      </c>
      <c r="I2" s="118">
        <v>9683.796244735579</v>
      </c>
      <c r="J2" s="118">
        <v>12172.16414053472</v>
      </c>
      <c r="K2" s="118">
        <v>13422.477073399314</v>
      </c>
      <c r="L2" s="118">
        <v>17786.314368495347</v>
      </c>
      <c r="M2" s="118">
        <v>13826.9900810908</v>
      </c>
      <c r="N2" s="118">
        <v>12356.033689485395</v>
      </c>
      <c r="O2" s="118">
        <f>SUM(C2:N2)</f>
      </c>
      <c r="P2" s="118"/>
      <c r="Q2" s="1"/>
      <c r="R2" s="1"/>
      <c r="S2" s="1"/>
      <c r="T2" s="1"/>
    </row>
    <row r="3">
      <c r="A3" s="135"/>
      <c r="B3" s="94" t="str">
        <v>自补前GMV</v>
      </c>
      <c r="C3" s="94">
        <f>C6/(1-$P$12)</f>
      </c>
      <c r="D3" s="94">
        <f>D6/(1-$P$12)</f>
      </c>
      <c r="E3" s="94">
        <f>E6/(1-$P$12)</f>
      </c>
      <c r="F3" s="94">
        <f>F6/(1-$P$12)</f>
      </c>
      <c r="G3" s="94">
        <f>G6/(1-$P$12)</f>
      </c>
      <c r="H3" s="94">
        <f>H6/(1-$P$12)</f>
      </c>
      <c r="I3" s="94">
        <f>I6/(1-$P$12)</f>
      </c>
      <c r="J3" s="94">
        <f>J6/(1-$P$12)</f>
      </c>
      <c r="K3" s="94">
        <f>K6/(1-$P$12)</f>
      </c>
      <c r="L3" s="94">
        <f>L6/(1-$P$12)</f>
      </c>
      <c r="M3" s="94">
        <f>M6/(1-$P$12)</f>
      </c>
      <c r="N3" s="94">
        <f>N6/(1-$P$12)</f>
      </c>
      <c r="O3" s="94">
        <f>SUM(C3:N3)</f>
      </c>
      <c r="P3" s="94"/>
      <c r="Q3" s="146" t="str">
        <v>渠道填写</v>
      </c>
      <c r="R3" s="1"/>
      <c r="S3" s="1"/>
      <c r="T3" s="1"/>
    </row>
    <row r="4">
      <c r="A4" s="135"/>
      <c r="B4" s="94" t="str">
        <v>自补前GSV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146" t="str">
        <v>渠道填写</v>
      </c>
      <c r="R4" s="1"/>
      <c r="S4" s="1"/>
      <c r="T4" s="1"/>
    </row>
    <row r="5">
      <c r="A5" s="135"/>
      <c r="B5" s="94" t="str">
        <v>国补自补费用</v>
      </c>
      <c r="C5" s="94">
        <f>C3*$P$12</f>
      </c>
      <c r="D5" s="94">
        <f>D3*$P$12</f>
      </c>
      <c r="E5" s="94">
        <f>E3*$P$12</f>
      </c>
      <c r="F5" s="94">
        <f>F3*$P$12</f>
      </c>
      <c r="G5" s="94">
        <f>G3*$P$12</f>
      </c>
      <c r="H5" s="94">
        <f>H3*$P$12</f>
      </c>
      <c r="I5" s="94">
        <f>I3*$P$12</f>
      </c>
      <c r="J5" s="94">
        <f>J3*$P$12</f>
      </c>
      <c r="K5" s="94">
        <f>K3*$P$12</f>
      </c>
      <c r="L5" s="94">
        <f>L3*$P$12</f>
      </c>
      <c r="M5" s="94">
        <f>M3*$P$12</f>
      </c>
      <c r="N5" s="94">
        <f>N3*$P$12</f>
      </c>
      <c r="O5" s="94">
        <f>SUM(C5:N5)</f>
      </c>
      <c r="P5" s="94"/>
      <c r="Q5" s="126" t="str">
        <v>渠道填写</v>
      </c>
      <c r="R5" s="1"/>
      <c r="S5" s="1"/>
      <c r="T5" s="1"/>
    </row>
    <row r="6">
      <c r="A6" s="135"/>
      <c r="B6" s="98" t="str">
        <v>GMV（国补后）</v>
      </c>
      <c r="C6" s="98">
        <f>C8/(1-C7)</f>
      </c>
      <c r="D6" s="98">
        <f>D8/(1-D7)</f>
      </c>
      <c r="E6" s="98">
        <f>E8/(1-E7)</f>
      </c>
      <c r="F6" s="98">
        <f>F8/(1-F7)</f>
      </c>
      <c r="G6" s="98">
        <f>G8/(1-G7)</f>
      </c>
      <c r="H6" s="98">
        <f>H8/(1-H7)</f>
      </c>
      <c r="I6" s="98">
        <f>I8/(1-I7)</f>
      </c>
      <c r="J6" s="98">
        <f>J8/(1-J7)</f>
      </c>
      <c r="K6" s="98">
        <f>K8/(1-K7)</f>
      </c>
      <c r="L6" s="98">
        <f>L8/(1-L7)</f>
      </c>
      <c r="M6" s="98">
        <f>M8/(1-M7)</f>
      </c>
      <c r="N6" s="98">
        <f>N8/(1-N7)</f>
      </c>
      <c r="O6" s="98">
        <f>SUM(C6:N6)</f>
      </c>
      <c r="P6" s="98"/>
      <c r="Q6" s="126" t="str">
        <v>渠道填写</v>
      </c>
      <c r="R6" s="1"/>
      <c r="S6" s="1"/>
      <c r="T6" s="1"/>
    </row>
    <row r="7">
      <c r="A7" s="135"/>
      <c r="B7" s="102" t="str">
        <v>退货率（发货前+后）</v>
      </c>
      <c r="C7" s="102">
        <v>0.05</v>
      </c>
      <c r="D7" s="102">
        <v>0.05</v>
      </c>
      <c r="E7" s="102">
        <v>0.05</v>
      </c>
      <c r="F7" s="102">
        <v>0.05</v>
      </c>
      <c r="G7" s="102">
        <v>0.05</v>
      </c>
      <c r="H7" s="102">
        <v>0.05</v>
      </c>
      <c r="I7" s="102">
        <v>0.05</v>
      </c>
      <c r="J7" s="102">
        <v>0.05</v>
      </c>
      <c r="K7" s="102">
        <v>0.05</v>
      </c>
      <c r="L7" s="102">
        <v>0.05</v>
      </c>
      <c r="M7" s="102">
        <v>0.05</v>
      </c>
      <c r="N7" s="102">
        <v>0.05</v>
      </c>
      <c r="O7" s="102">
        <v>0.05</v>
      </c>
      <c r="P7" s="102"/>
      <c r="Q7" s="1" t="str">
        <v>渠道填写</v>
      </c>
      <c r="R7" s="1"/>
      <c r="S7" s="1"/>
      <c r="T7" s="1"/>
    </row>
    <row r="8">
      <c r="A8" s="135"/>
      <c r="B8" s="98" t="str">
        <v>GSV（国补后）</v>
      </c>
      <c r="C8" s="98">
        <v>3932667.816297495</v>
      </c>
      <c r="D8" s="98">
        <v>4253025.205989233</v>
      </c>
      <c r="E8" s="98">
        <v>3352682.0374656627</v>
      </c>
      <c r="F8" s="98">
        <v>2988137.096721674</v>
      </c>
      <c r="G8" s="98">
        <v>5544948.79778639</v>
      </c>
      <c r="H8" s="98">
        <v>5086551.578570529</v>
      </c>
      <c r="I8" s="98">
        <v>3877433.4896458522</v>
      </c>
      <c r="J8" s="98">
        <v>5004209.087330677</v>
      </c>
      <c r="K8" s="98">
        <v>3827722.999448587</v>
      </c>
      <c r="L8" s="98">
        <v>5639401.376223822</v>
      </c>
      <c r="M8" s="98">
        <v>6390585.2575652655</v>
      </c>
      <c r="N8" s="98">
        <v>5330201.13118344</v>
      </c>
      <c r="O8" s="98">
        <f>SUM(C8:N8)</f>
      </c>
      <c r="P8" s="98"/>
      <c r="Q8" s="1" t="str">
        <v>渠道填写</v>
      </c>
      <c r="R8" s="1"/>
      <c r="S8" s="1"/>
      <c r="T8" s="1"/>
    </row>
    <row r="9">
      <c r="A9" s="1"/>
      <c r="B9" s="90"/>
      <c r="C9" s="88">
        <f>C10-C14-C15</f>
      </c>
      <c r="D9" s="88">
        <f>D10-D14-D15</f>
      </c>
      <c r="E9" s="88">
        <f>E10-E14-E15</f>
      </c>
      <c r="F9" s="88">
        <f>F10-F14-F15</f>
      </c>
      <c r="G9" s="88">
        <f>G10-G14-G15</f>
      </c>
      <c r="H9" s="88">
        <f>H10-H14-H15</f>
      </c>
      <c r="I9" s="88">
        <f>I10-I14-I15</f>
      </c>
      <c r="J9" s="88">
        <f>J10-J14-J15</f>
      </c>
      <c r="K9" s="88">
        <f>K10-K14-K15</f>
      </c>
      <c r="L9" s="88">
        <f>L10-L14-L15</f>
      </c>
      <c r="M9" s="88">
        <f>M10-M14-M15</f>
      </c>
      <c r="N9" s="88">
        <f>N10-N14-N15</f>
      </c>
      <c r="O9" s="88">
        <f>O10-O14-O15</f>
      </c>
      <c r="P9" s="118"/>
      <c r="Q9" s="1"/>
      <c r="R9" s="1"/>
      <c r="S9" s="1"/>
      <c r="T9" s="1"/>
    </row>
    <row r="10">
      <c r="A10" s="135"/>
      <c r="B10" s="98" t="str">
        <v>零售价（去除退货后的）</v>
      </c>
      <c r="C10" s="98">
        <f>C11+C15</f>
      </c>
      <c r="D10" s="98">
        <f>D11+D15</f>
      </c>
      <c r="E10" s="98">
        <f>E11+E15</f>
      </c>
      <c r="F10" s="98">
        <f>F11+F15</f>
      </c>
      <c r="G10" s="98">
        <f>G11+G15</f>
      </c>
      <c r="H10" s="98">
        <f>H11+H15</f>
      </c>
      <c r="I10" s="98">
        <f>I11+I15</f>
      </c>
      <c r="J10" s="98">
        <f>J11+J15</f>
      </c>
      <c r="K10" s="98">
        <f>K11+K15</f>
      </c>
      <c r="L10" s="98">
        <f>L11+L15</f>
      </c>
      <c r="M10" s="98">
        <f>M11+M15</f>
      </c>
      <c r="N10" s="98">
        <f>N11+N15</f>
      </c>
      <c r="O10" s="98">
        <f>O11+O15</f>
      </c>
      <c r="P10" s="98"/>
      <c r="Q10" s="1"/>
      <c r="R10" s="54">
        <f>C15/C10</f>
      </c>
      <c r="S10" s="1"/>
      <c r="T10" s="1"/>
    </row>
    <row r="11">
      <c r="A11" s="1"/>
      <c r="B11" s="85" t="str">
        <v>合同折扣及返利 (线下）</v>
      </c>
      <c r="C11" s="127">
        <f>C8*$P$11</f>
      </c>
      <c r="D11" s="127">
        <f>D8*$P$11</f>
      </c>
      <c r="E11" s="127">
        <f>E8*$P$11</f>
      </c>
      <c r="F11" s="127">
        <f>F8*$P$11</f>
      </c>
      <c r="G11" s="127">
        <f>G8*$P$11</f>
      </c>
      <c r="H11" s="127">
        <f>H8*$P$11</f>
      </c>
      <c r="I11" s="127">
        <f>I8*$P$11</f>
      </c>
      <c r="J11" s="127">
        <f>J8*$P$11</f>
      </c>
      <c r="K11" s="127">
        <f>K8*$P$11</f>
      </c>
      <c r="L11" s="127">
        <f>L8*$P$11</f>
      </c>
      <c r="M11" s="127">
        <f>M8*$P$11</f>
      </c>
      <c r="N11" s="127">
        <f>N8*$P$11</f>
      </c>
      <c r="O11" s="127">
        <f>SUM(C11:N11)</f>
      </c>
      <c r="P11" s="128">
        <v>0.3</v>
      </c>
      <c r="Q11" s="1" t="str">
        <v>线下渠道填写</v>
      </c>
      <c r="R11" s="1"/>
      <c r="S11" s="1"/>
      <c r="T11" s="1"/>
    </row>
    <row r="12">
      <c r="A12" s="1"/>
      <c r="B12" s="85" t="str">
        <v>国补自补 （线上）</v>
      </c>
      <c r="C12" s="127">
        <f>C3*$P$12</f>
      </c>
      <c r="D12" s="127">
        <f>D3*$P$12</f>
      </c>
      <c r="E12" s="127">
        <f>E3*$P$12</f>
      </c>
      <c r="F12" s="127">
        <f>F3*$P$12</f>
      </c>
      <c r="G12" s="127">
        <f>G3*$P$12</f>
      </c>
      <c r="H12" s="127">
        <f>H3*$P$12</f>
      </c>
      <c r="I12" s="127">
        <f>I3*$P$12</f>
      </c>
      <c r="J12" s="127">
        <f>J3*$P$12</f>
      </c>
      <c r="K12" s="127">
        <f>K3*$P$12</f>
      </c>
      <c r="L12" s="127">
        <f>L3*$P$12</f>
      </c>
      <c r="M12" s="127">
        <f>M3*$P$12</f>
      </c>
      <c r="N12" s="127">
        <f>N3*$P$12</f>
      </c>
      <c r="O12" s="127">
        <f>SUM(C12:N12)</f>
      </c>
      <c r="P12" s="173"/>
      <c r="Q12" s="1" t="str">
        <v>渠道填写</v>
      </c>
      <c r="R12" s="54">
        <f>O12/$O$10</f>
      </c>
      <c r="S12" s="1"/>
      <c r="T12" s="1"/>
    </row>
    <row r="13">
      <c r="A13" s="1"/>
      <c r="B13" s="85" t="str">
        <v>红包消费券等促销折扣</v>
      </c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>
        <f>SUM(C13:N13)</f>
      </c>
      <c r="P13" s="127"/>
      <c r="Q13" s="1" t="str">
        <v>渠道填写</v>
      </c>
      <c r="R13" s="54">
        <f>O13/$O$10</f>
      </c>
      <c r="S13" s="1"/>
      <c r="T13" s="1"/>
    </row>
    <row r="14">
      <c r="A14" s="1"/>
      <c r="B14" s="83" t="str">
        <v>TTL 折扣合计</v>
      </c>
      <c r="C14" s="115">
        <f>SUM(C11:C13)</f>
      </c>
      <c r="D14" s="115">
        <f>SUM(D11:D13)</f>
      </c>
      <c r="E14" s="115">
        <f>SUM(E11:E13)</f>
      </c>
      <c r="F14" s="115">
        <f>SUM(F11:F13)</f>
      </c>
      <c r="G14" s="115">
        <f>SUM(G11:G13)</f>
      </c>
      <c r="H14" s="115">
        <f>SUM(H11:H13)</f>
      </c>
      <c r="I14" s="115">
        <f>SUM(I11:I13)</f>
      </c>
      <c r="J14" s="115">
        <f>SUM(J11:J13)</f>
      </c>
      <c r="K14" s="115">
        <f>SUM(K11:K13)</f>
      </c>
      <c r="L14" s="115">
        <f>SUM(L11:L13)</f>
      </c>
      <c r="M14" s="115">
        <f>SUM(M11:M13)</f>
      </c>
      <c r="N14" s="115">
        <f>SUM(N11:N13)</f>
      </c>
      <c r="O14" s="115">
        <f>SUM(C14:N14)</f>
      </c>
      <c r="P14" s="115"/>
      <c r="Q14" s="1"/>
      <c r="R14" s="1">
        <f>O14/O10</f>
      </c>
      <c r="S14" s="1"/>
      <c r="T14" s="1"/>
    </row>
    <row r="15">
      <c r="A15" s="135"/>
      <c r="B15" s="98" t="str">
        <v>GSV</v>
      </c>
      <c r="C15" s="98">
        <f>C8</f>
      </c>
      <c r="D15" s="98">
        <f>D8</f>
      </c>
      <c r="E15" s="98">
        <f>E8</f>
      </c>
      <c r="F15" s="98">
        <f>F8</f>
      </c>
      <c r="G15" s="98">
        <f>G8</f>
      </c>
      <c r="H15" s="98">
        <f>H8</f>
      </c>
      <c r="I15" s="98">
        <f>I8</f>
      </c>
      <c r="J15" s="98">
        <f>J8</f>
      </c>
      <c r="K15" s="98">
        <f>K8</f>
      </c>
      <c r="L15" s="98">
        <f>L8</f>
      </c>
      <c r="M15" s="98">
        <f>M8</f>
      </c>
      <c r="N15" s="98">
        <f>N8</f>
      </c>
      <c r="O15" s="98">
        <f>SUM(C15:N15)</f>
      </c>
      <c r="P15" s="98"/>
      <c r="Q15" s="1"/>
      <c r="R15" s="1"/>
      <c r="S15" s="1"/>
      <c r="T15" s="1"/>
    </row>
    <row r="16">
      <c r="A16" s="135"/>
      <c r="B16" s="98" t="str">
        <v>营业收入</v>
      </c>
      <c r="C16" s="98">
        <f>+C8/1.13</f>
      </c>
      <c r="D16" s="98">
        <f>+D8/1.13</f>
      </c>
      <c r="E16" s="98">
        <f>+E8/1.13</f>
      </c>
      <c r="F16" s="98">
        <f>+F8/1.13</f>
      </c>
      <c r="G16" s="98">
        <f>+G8/1.13</f>
      </c>
      <c r="H16" s="98">
        <f>+H8/1.13</f>
      </c>
      <c r="I16" s="98">
        <f>+I8/1.13</f>
      </c>
      <c r="J16" s="98">
        <f>+J8/1.13</f>
      </c>
      <c r="K16" s="98">
        <f>+K8/1.13</f>
      </c>
      <c r="L16" s="98">
        <f>+L8/1.13</f>
      </c>
      <c r="M16" s="98">
        <f>+M8/1.13</f>
      </c>
      <c r="N16" s="98">
        <f>+N8/1.13</f>
      </c>
      <c r="O16" s="98">
        <f>SUM(C16:N16)</f>
      </c>
      <c r="P16" s="98"/>
      <c r="Q16" s="1"/>
      <c r="R16" s="1"/>
      <c r="S16" s="1"/>
      <c r="T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>
      <c r="A18" s="1"/>
      <c r="B18" s="85" t="str">
        <v>标准主品配件成本</v>
      </c>
      <c r="C18" s="127">
        <f>C16*(1-C23)</f>
      </c>
      <c r="D18" s="127">
        <f>D16*(1-D23)</f>
      </c>
      <c r="E18" s="127">
        <f>E16*(1-E23)</f>
      </c>
      <c r="F18" s="127">
        <f>F16*(1-F23)</f>
      </c>
      <c r="G18" s="127">
        <f>G16*(1-G23)</f>
      </c>
      <c r="H18" s="127">
        <f>H16*(1-H23)</f>
      </c>
      <c r="I18" s="127">
        <f>I16*(1-I23)</f>
      </c>
      <c r="J18" s="127">
        <f>J16*(1-J23)</f>
      </c>
      <c r="K18" s="127">
        <f>K16*(1-K23)</f>
      </c>
      <c r="L18" s="127">
        <f>L16*(1-L23)</f>
      </c>
      <c r="M18" s="127">
        <f>M16*(1-M23)</f>
      </c>
      <c r="N18" s="127">
        <f>N16*(1-N23)</f>
      </c>
      <c r="O18" s="127">
        <f>SUM(C18:N18)</f>
      </c>
      <c r="P18" s="128">
        <f>O18/O16</f>
      </c>
      <c r="Q18" s="1"/>
      <c r="R18" s="1"/>
      <c r="S18" s="1"/>
      <c r="T18" s="1"/>
    </row>
    <row r="19">
      <c r="A19" s="1"/>
      <c r="B19" s="83" t="str">
        <v>产品毛利</v>
      </c>
      <c r="C19" s="115">
        <f>C16-C18</f>
      </c>
      <c r="D19" s="115">
        <f>D16-D18</f>
      </c>
      <c r="E19" s="115">
        <f>E16-E18</f>
      </c>
      <c r="F19" s="115">
        <f>F16-F18</f>
      </c>
      <c r="G19" s="115">
        <f>G16-G18</f>
      </c>
      <c r="H19" s="115">
        <f>H16-H18</f>
      </c>
      <c r="I19" s="115">
        <f>I16-I18</f>
      </c>
      <c r="J19" s="115">
        <f>J16-J18</f>
      </c>
      <c r="K19" s="115">
        <f>K16-K18</f>
      </c>
      <c r="L19" s="115">
        <f>L16-L18</f>
      </c>
      <c r="M19" s="115">
        <f>M16-M18</f>
      </c>
      <c r="N19" s="115">
        <f>N16-N18</f>
      </c>
      <c r="O19" s="115">
        <f>SUM(C19:N19)</f>
      </c>
      <c r="P19" s="116">
        <f>O19/$O$16</f>
      </c>
      <c r="Q19" s="1"/>
      <c r="R19" s="1"/>
      <c r="S19" s="1"/>
      <c r="T19" s="1"/>
    </row>
    <row r="20">
      <c r="A20" s="118"/>
      <c r="B20" s="90" t="str">
        <v>头程/尾程物流/仓储费用</v>
      </c>
      <c r="C20" s="118">
        <f>C16*2.5%</f>
      </c>
      <c r="D20" s="118">
        <f>D16*2.5%</f>
      </c>
      <c r="E20" s="118">
        <f>E16*2.5%</f>
      </c>
      <c r="F20" s="118">
        <f>F16*2.5%</f>
      </c>
      <c r="G20" s="118">
        <f>G16*2.5%</f>
      </c>
      <c r="H20" s="118">
        <f>H16*2.5%</f>
      </c>
      <c r="I20" s="118">
        <f>I16*2.5%</f>
      </c>
      <c r="J20" s="118">
        <f>J16*2.5%</f>
      </c>
      <c r="K20" s="118">
        <f>K16*2.5%</f>
      </c>
      <c r="L20" s="118">
        <f>L16*2.5%</f>
      </c>
      <c r="M20" s="118">
        <f>M16*2.5%</f>
      </c>
      <c r="N20" s="118">
        <f>N16*2.5%</f>
      </c>
      <c r="O20" s="118">
        <f>SUM(C20:N20)</f>
      </c>
      <c r="P20" s="120">
        <v>0.025</v>
      </c>
      <c r="Q20" s="1"/>
      <c r="R20" s="1"/>
      <c r="S20" s="1"/>
      <c r="T20" s="1"/>
    </row>
    <row r="21">
      <c r="A21" s="1"/>
      <c r="B21" s="83" t="str">
        <v>成本合计（产品+物流）</v>
      </c>
      <c r="C21" s="115">
        <f>SUM(C18,C20)</f>
      </c>
      <c r="D21" s="115">
        <f>SUM(D18,D20)</f>
      </c>
      <c r="E21" s="115">
        <f>SUM(E18,E20)</f>
      </c>
      <c r="F21" s="115">
        <f>SUM(F18,F20)</f>
      </c>
      <c r="G21" s="115">
        <f>SUM(G18,G20)</f>
      </c>
      <c r="H21" s="115">
        <f>SUM(H18,H20)</f>
      </c>
      <c r="I21" s="115">
        <f>SUM(I18,I20)</f>
      </c>
      <c r="J21" s="115">
        <f>SUM(J18,J20)</f>
      </c>
      <c r="K21" s="115">
        <f>SUM(K18,K20)</f>
      </c>
      <c r="L21" s="115">
        <f>SUM(L18,L20)</f>
      </c>
      <c r="M21" s="115">
        <f>SUM(M18,M20)</f>
      </c>
      <c r="N21" s="115">
        <f>SUM(N18,N20)</f>
      </c>
      <c r="O21" s="115">
        <f>SUM(C21:N21)</f>
      </c>
      <c r="P21" s="116">
        <f>O21/$O$16</f>
      </c>
      <c r="Q21" s="1"/>
      <c r="R21" s="1"/>
      <c r="S21" s="1"/>
      <c r="T21" s="1"/>
    </row>
    <row r="22">
      <c r="A22" s="135"/>
      <c r="B22" s="98" t="str">
        <v>净毛利</v>
      </c>
      <c r="C22" s="98">
        <f>C16-C21</f>
      </c>
      <c r="D22" s="98">
        <f>D16-D21</f>
      </c>
      <c r="E22" s="98">
        <f>E16-E21</f>
      </c>
      <c r="F22" s="98">
        <f>F16-F21</f>
      </c>
      <c r="G22" s="98">
        <f>G16-G21</f>
      </c>
      <c r="H22" s="98">
        <f>H16-H21</f>
      </c>
      <c r="I22" s="98">
        <f>I16-I21</f>
      </c>
      <c r="J22" s="98">
        <f>J16-J21</f>
      </c>
      <c r="K22" s="98">
        <f>K16-K21</f>
      </c>
      <c r="L22" s="98">
        <f>L16-L21</f>
      </c>
      <c r="M22" s="98">
        <f>M16-M21</f>
      </c>
      <c r="N22" s="98">
        <f>N16-N21</f>
      </c>
      <c r="O22" s="98">
        <f>SUM(C22:N22)</f>
      </c>
      <c r="P22" s="162">
        <f>O22/$O$16</f>
      </c>
      <c r="Q22" s="1"/>
      <c r="R22" s="1"/>
      <c r="S22" s="1"/>
      <c r="T22" s="1"/>
    </row>
    <row r="23">
      <c r="A23" s="1"/>
      <c r="B23" s="102" t="str">
        <v>实际产品毛利率</v>
      </c>
      <c r="C23" s="165">
        <v>0.51</v>
      </c>
      <c r="D23" s="165">
        <v>0.52</v>
      </c>
      <c r="E23" s="165">
        <v>0.53</v>
      </c>
      <c r="F23" s="165">
        <v>0.54</v>
      </c>
      <c r="G23" s="165">
        <v>0.55</v>
      </c>
      <c r="H23" s="165">
        <v>0.56</v>
      </c>
      <c r="I23" s="165">
        <v>0.57</v>
      </c>
      <c r="J23" s="165">
        <v>0.59</v>
      </c>
      <c r="K23" s="165">
        <v>0.6</v>
      </c>
      <c r="L23" s="165">
        <v>0.61</v>
      </c>
      <c r="M23" s="165">
        <v>0.62</v>
      </c>
      <c r="N23" s="165">
        <v>0.63</v>
      </c>
      <c r="O23" s="165">
        <f>O19/$O$16</f>
      </c>
      <c r="P23" s="120"/>
      <c r="Q23" s="1"/>
      <c r="R23" s="1"/>
      <c r="S23" s="1"/>
      <c r="T23" s="1"/>
    </row>
    <row r="24">
      <c r="A24" s="1"/>
      <c r="B24" s="102" t="str">
        <v>合计毛利率</v>
      </c>
      <c r="C24" s="165">
        <f>IFERROR(1-C21/C16,0)</f>
      </c>
      <c r="D24" s="165">
        <f>IFERROR(1-D21/D16,0)</f>
      </c>
      <c r="E24" s="165">
        <f>IFERROR(1-E21/E16,0)</f>
      </c>
      <c r="F24" s="165">
        <f>IFERROR(1-F21/F16,0)</f>
      </c>
      <c r="G24" s="165">
        <f>IFERROR(1-G21/G16,0)</f>
      </c>
      <c r="H24" s="165">
        <f>IFERROR(1-H21/H16,0)</f>
      </c>
      <c r="I24" s="165">
        <f>IFERROR(1-I21/I16,0)</f>
      </c>
      <c r="J24" s="165">
        <f>IFERROR(1-J21/J16,0)</f>
      </c>
      <c r="K24" s="165">
        <f>IFERROR(1-K21/K16,0)</f>
      </c>
      <c r="L24" s="165">
        <f>IFERROR(1-L21/L16,0)</f>
      </c>
      <c r="M24" s="165">
        <f>IFERROR(1-M21/M16,0)</f>
      </c>
      <c r="N24" s="165">
        <f>IFERROR(1-N21/N16,0)</f>
      </c>
      <c r="O24" s="165">
        <f>IFERROR(1-O21/O16,0)</f>
      </c>
      <c r="P24" s="120"/>
      <c r="Q24" s="1"/>
      <c r="R24" s="1"/>
      <c r="S24" s="1"/>
      <c r="T24" s="1"/>
    </row>
    <row r="25">
      <c r="A25" s="1"/>
      <c r="B25" s="1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8"/>
      <c r="N25" s="118"/>
      <c r="O25" s="118"/>
      <c r="P25" s="120"/>
      <c r="Q25" s="1"/>
      <c r="R25" s="1"/>
      <c r="S25" s="1"/>
      <c r="T25" s="1"/>
    </row>
    <row r="26">
      <c r="A26" s="1"/>
      <c r="B26" s="85" t="str">
        <v>品牌及内容费用</v>
      </c>
      <c r="C26" s="127">
        <f>SUM(C27:C31)</f>
      </c>
      <c r="D26" s="127">
        <f>SUM(D27:D31)</f>
      </c>
      <c r="E26" s="127">
        <f>SUM(E27:E31)</f>
      </c>
      <c r="F26" s="127">
        <f>SUM(F27:F31)</f>
      </c>
      <c r="G26" s="127">
        <f>SUM(G27:G31)</f>
      </c>
      <c r="H26" s="127">
        <f>SUM(H27:H31)</f>
      </c>
      <c r="I26" s="127">
        <f>SUM(I27:I31)</f>
      </c>
      <c r="J26" s="127">
        <f>SUM(J27:J31)</f>
      </c>
      <c r="K26" s="127">
        <f>SUM(K27:K31)</f>
      </c>
      <c r="L26" s="127">
        <f>SUM(L27:L31)</f>
      </c>
      <c r="M26" s="127">
        <f>SUM(M27:M31)</f>
      </c>
      <c r="N26" s="127">
        <f>SUM(N27:N31)</f>
      </c>
      <c r="O26" s="127">
        <f>SUM(C26:N26)</f>
      </c>
      <c r="P26" s="128">
        <f>O26/$O$16</f>
      </c>
      <c r="Q26" s="1"/>
      <c r="R26" s="1"/>
      <c r="S26" s="1"/>
      <c r="T26" s="1"/>
    </row>
    <row r="27">
      <c r="A27" s="118"/>
      <c r="B27" s="90" t="str">
        <v>展会</v>
      </c>
      <c r="C27" s="170">
        <v>0</v>
      </c>
      <c r="D27" s="170">
        <v>0</v>
      </c>
      <c r="E27" s="170">
        <v>8195.019565588605</v>
      </c>
      <c r="F27" s="170">
        <v>6855.050795623433</v>
      </c>
      <c r="G27" s="170">
        <v>14565.72364919072</v>
      </c>
      <c r="H27" s="170">
        <v>12831.601628927816</v>
      </c>
      <c r="I27" s="170">
        <v>8296.29735446039</v>
      </c>
      <c r="J27" s="170">
        <v>11428.131003140248</v>
      </c>
      <c r="K27" s="170">
        <v>9109.417272264043</v>
      </c>
      <c r="L27" s="170">
        <v>15309.781684127967</v>
      </c>
      <c r="M27" s="170">
        <v>11655.261505213248</v>
      </c>
      <c r="N27" s="170">
        <v>0</v>
      </c>
      <c r="O27" s="118">
        <f>SUM(C27:N27)</f>
      </c>
      <c r="P27" s="120">
        <f>O27/$O$16</f>
      </c>
      <c r="Q27" s="90"/>
      <c r="R27" s="1"/>
      <c r="S27" s="1"/>
      <c r="T27" s="1"/>
    </row>
    <row r="28">
      <c r="A28" s="118"/>
      <c r="B28" s="90" t="str">
        <v>品牌营销</v>
      </c>
      <c r="C28" s="170">
        <v>0</v>
      </c>
      <c r="D28" s="170">
        <v>0</v>
      </c>
      <c r="E28" s="170">
        <v>0</v>
      </c>
      <c r="F28" s="170">
        <v>8226.06095474812</v>
      </c>
      <c r="G28" s="170">
        <v>87394.34189514432</v>
      </c>
      <c r="H28" s="170">
        <v>41061.125212569015</v>
      </c>
      <c r="I28" s="170">
        <v>0</v>
      </c>
      <c r="J28" s="170">
        <v>13713.757203768298</v>
      </c>
      <c r="K28" s="170">
        <v>29150.135271244937</v>
      </c>
      <c r="L28" s="170">
        <v>18371.73802095356</v>
      </c>
      <c r="M28" s="170">
        <v>13986.313806255896</v>
      </c>
      <c r="N28" s="170">
        <v>0</v>
      </c>
      <c r="O28" s="118">
        <f>SUM(C28:N28)</f>
      </c>
      <c r="P28" s="120">
        <f>O28/$O$16</f>
      </c>
      <c r="Q28" s="90"/>
      <c r="R28" s="1"/>
      <c r="S28" s="1"/>
      <c r="T28" s="1"/>
    </row>
    <row r="29">
      <c r="A29" s="118"/>
      <c r="B29" s="90" t="str">
        <v>内容素材制作</v>
      </c>
      <c r="C29" s="170">
        <v>4016.491698267997</v>
      </c>
      <c r="D29" s="170">
        <v>3277.770471156531</v>
      </c>
      <c r="E29" s="170">
        <v>3278.0078262354423</v>
      </c>
      <c r="F29" s="170">
        <v>13710.101591246867</v>
      </c>
      <c r="G29" s="170">
        <v>87394.34189514432</v>
      </c>
      <c r="H29" s="170">
        <v>56459.04716728239</v>
      </c>
      <c r="I29" s="170">
        <v>0</v>
      </c>
      <c r="J29" s="170">
        <v>13713.757203768298</v>
      </c>
      <c r="K29" s="170">
        <v>29150.135271244937</v>
      </c>
      <c r="L29" s="170">
        <v>30619.563368255935</v>
      </c>
      <c r="M29" s="170">
        <v>23310.523010426496</v>
      </c>
      <c r="N29" s="170">
        <v>4076.310161677474</v>
      </c>
      <c r="O29" s="118">
        <f>SUM(C29:N29)</f>
      </c>
      <c r="P29" s="120">
        <f>O29/$O$16</f>
      </c>
      <c r="Q29" s="1"/>
      <c r="R29" s="1"/>
      <c r="S29" s="1"/>
      <c r="T29" s="1"/>
    </row>
    <row r="30">
      <c r="A30" s="118"/>
      <c r="B30" s="90" t="str">
        <v>公关费用</v>
      </c>
      <c r="C30" s="170">
        <v>4016.491698267997</v>
      </c>
      <c r="D30" s="170">
        <v>3277.770471156531</v>
      </c>
      <c r="E30" s="170">
        <v>26224.06260988354</v>
      </c>
      <c r="F30" s="170">
        <v>2742.0203182493738</v>
      </c>
      <c r="G30" s="170">
        <v>17478.868379028863</v>
      </c>
      <c r="H30" s="170">
        <v>5132.640651571127</v>
      </c>
      <c r="I30" s="170">
        <v>3318.5189417841557</v>
      </c>
      <c r="J30" s="170">
        <v>4571.2524012561</v>
      </c>
      <c r="K30" s="170">
        <v>3643.766908905617</v>
      </c>
      <c r="L30" s="170">
        <v>12247.825347302376</v>
      </c>
      <c r="M30" s="170">
        <v>9324.2092041706</v>
      </c>
      <c r="N30" s="170">
        <v>4076.310161677474</v>
      </c>
      <c r="O30" s="118">
        <f>SUM(C30:N30)</f>
      </c>
      <c r="P30" s="120">
        <f>O30/$O$16</f>
      </c>
      <c r="Q30" s="1"/>
      <c r="R30" s="1"/>
      <c r="S30" s="1"/>
      <c r="T30" s="1"/>
    </row>
    <row collapsed="true" r="31">
      <c r="A31" s="118"/>
      <c r="B31" s="90" t="str">
        <v>达人种草、样机及加热</v>
      </c>
      <c r="C31" s="170">
        <v>40164.91698267998</v>
      </c>
      <c r="D31" s="170">
        <v>163888.52355782656</v>
      </c>
      <c r="E31" s="170">
        <v>262240.6260988354</v>
      </c>
      <c r="F31" s="170">
        <v>137101.01591246866</v>
      </c>
      <c r="G31" s="170">
        <v>524366.0513708659</v>
      </c>
      <c r="H31" s="170">
        <v>307958.43909426755</v>
      </c>
      <c r="I31" s="170">
        <v>66370.37883568312</v>
      </c>
      <c r="J31" s="170">
        <v>91425.04802512199</v>
      </c>
      <c r="K31" s="170">
        <v>36437.66908905617</v>
      </c>
      <c r="L31" s="170">
        <v>306195.63368255936</v>
      </c>
      <c r="M31" s="170">
        <v>93242.09204170598</v>
      </c>
      <c r="N31" s="170">
        <v>81526.20323354947</v>
      </c>
      <c r="O31" s="118">
        <f>SUM(C31:N31)</f>
      </c>
      <c r="P31" s="120">
        <f>O31/$O$16</f>
      </c>
      <c r="Q31" s="1"/>
      <c r="R31" s="1"/>
      <c r="S31" s="1"/>
      <c r="T31" s="1"/>
    </row>
    <row hidden="true" outlineLevel="1" r="32">
      <c r="A32" s="118"/>
      <c r="B32" s="90" t="str">
        <v>展会(费率)</v>
      </c>
      <c r="C32" s="118"/>
      <c r="D32" s="118"/>
      <c r="E32" s="118"/>
      <c r="F32" s="118"/>
      <c r="G32" s="118"/>
      <c r="H32" s="118"/>
      <c r="I32" s="118"/>
      <c r="J32" s="118"/>
      <c r="K32" s="118"/>
      <c r="L32" s="118"/>
      <c r="M32" s="118"/>
      <c r="N32" s="118"/>
      <c r="O32" s="118"/>
      <c r="P32" s="120"/>
      <c r="Q32" s="1"/>
      <c r="R32" s="1"/>
      <c r="S32" s="1"/>
      <c r="T32" s="1"/>
    </row>
    <row hidden="true" outlineLevel="1" r="33">
      <c r="A33" s="118"/>
      <c r="B33" s="90" t="str">
        <v>品牌营销（费率）</v>
      </c>
      <c r="C33" s="118"/>
      <c r="D33" s="118"/>
      <c r="E33" s="118"/>
      <c r="F33" s="118"/>
      <c r="G33" s="118"/>
      <c r="H33" s="118"/>
      <c r="I33" s="118"/>
      <c r="J33" s="118"/>
      <c r="K33" s="118"/>
      <c r="L33" s="118"/>
      <c r="M33" s="118"/>
      <c r="N33" s="118"/>
      <c r="O33" s="118"/>
      <c r="P33" s="120"/>
      <c r="Q33" s="1"/>
      <c r="R33" s="1"/>
      <c r="S33" s="1"/>
      <c r="T33" s="1"/>
    </row>
    <row hidden="true" outlineLevel="1" r="34">
      <c r="A34" s="118"/>
      <c r="B34" s="90" t="str">
        <v>内容素材制作（费率）</v>
      </c>
      <c r="C34" s="118"/>
      <c r="D34" s="118"/>
      <c r="E34" s="118"/>
      <c r="F34" s="118"/>
      <c r="G34" s="118"/>
      <c r="H34" s="118"/>
      <c r="I34" s="118"/>
      <c r="J34" s="118"/>
      <c r="K34" s="118"/>
      <c r="L34" s="118"/>
      <c r="M34" s="118"/>
      <c r="N34" s="118"/>
      <c r="O34" s="118"/>
      <c r="P34" s="120"/>
      <c r="Q34" s="1"/>
      <c r="R34" s="1"/>
      <c r="S34" s="1"/>
      <c r="T34" s="1"/>
    </row>
    <row hidden="true" outlineLevel="1" r="35">
      <c r="A35" s="118"/>
      <c r="B35" s="90" t="str">
        <v>公关费用（费率）</v>
      </c>
      <c r="C35" s="118"/>
      <c r="D35" s="118"/>
      <c r="E35" s="118"/>
      <c r="F35" s="118"/>
      <c r="G35" s="118"/>
      <c r="H35" s="118"/>
      <c r="I35" s="118"/>
      <c r="J35" s="118"/>
      <c r="K35" s="118"/>
      <c r="L35" s="118"/>
      <c r="M35" s="118"/>
      <c r="N35" s="118"/>
      <c r="O35" s="118"/>
      <c r="P35" s="120"/>
      <c r="Q35" s="1"/>
      <c r="R35" s="1"/>
      <c r="S35" s="1"/>
      <c r="T35" s="1"/>
    </row>
    <row hidden="true" outlineLevel="1" r="36">
      <c r="A36" s="118"/>
      <c r="B36" s="90" t="str">
        <v>达人种草、样机及加热（费率）</v>
      </c>
      <c r="C36" s="171"/>
      <c r="D36" s="171"/>
      <c r="E36" s="171"/>
      <c r="F36" s="171"/>
      <c r="G36" s="171"/>
      <c r="H36" s="171"/>
      <c r="I36" s="171"/>
      <c r="J36" s="171"/>
      <c r="K36" s="171"/>
      <c r="L36" s="171"/>
      <c r="M36" s="171"/>
      <c r="N36" s="171"/>
      <c r="O36" s="118"/>
      <c r="P36" s="120"/>
      <c r="Q36" s="1"/>
      <c r="R36" s="1"/>
      <c r="S36" s="1"/>
      <c r="T36" s="1"/>
    </row>
    <row r="37">
      <c r="A37" s="1"/>
      <c r="B37" s="85" t="str">
        <v>效果广告</v>
      </c>
      <c r="C37" s="127">
        <f>SUM(C38:C40)</f>
      </c>
      <c r="D37" s="127">
        <f>SUM(D38:D40)</f>
      </c>
      <c r="E37" s="127">
        <f>SUM(E38:E40)</f>
      </c>
      <c r="F37" s="127">
        <f>SUM(F38:F40)</f>
      </c>
      <c r="G37" s="127">
        <f>SUM(G38:G40)</f>
      </c>
      <c r="H37" s="127">
        <f>SUM(H38:H40)</f>
      </c>
      <c r="I37" s="127">
        <f>SUM(I38:I40)</f>
      </c>
      <c r="J37" s="127">
        <f>SUM(J38:J40)</f>
      </c>
      <c r="K37" s="127">
        <f>SUM(K38:K40)</f>
      </c>
      <c r="L37" s="127">
        <f>SUM(L38:L40)</f>
      </c>
      <c r="M37" s="127">
        <f>SUM(M38:M40)</f>
      </c>
      <c r="N37" s="127">
        <f>SUM(N38:N40)</f>
      </c>
      <c r="O37" s="127">
        <f>SUM(C37:N37)</f>
      </c>
      <c r="P37" s="128">
        <f>O37/$O$16</f>
      </c>
      <c r="Q37" s="1"/>
      <c r="R37" s="1"/>
      <c r="S37" s="1"/>
      <c r="T37" s="1"/>
    </row>
    <row r="38">
      <c r="A38" s="118"/>
      <c r="B38" s="90" t="str">
        <v>站内投放</v>
      </c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18">
        <f>SUM(C38:N38)</f>
      </c>
      <c r="P38" s="120">
        <f>O38/$O$16</f>
      </c>
      <c r="Q38" s="1" t="str">
        <v>投放填写</v>
      </c>
      <c r="R38" s="1"/>
      <c r="S38" s="1"/>
      <c r="T38" s="1"/>
    </row>
    <row r="39">
      <c r="A39" s="118"/>
      <c r="B39" s="90" t="str">
        <v>千川投放</v>
      </c>
      <c r="C39" s="172"/>
      <c r="D39" s="172"/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18">
        <f>SUM(C39:N39)</f>
      </c>
      <c r="P39" s="120">
        <f>O39/$O$16</f>
      </c>
      <c r="Q39" s="1" t="str">
        <v>投放填写</v>
      </c>
      <c r="R39" s="1"/>
      <c r="S39" s="1"/>
      <c r="T39" s="1"/>
    </row>
    <row collapsed="true" r="40">
      <c r="A40" s="118"/>
      <c r="B40" s="90" t="str">
        <v>站外投放</v>
      </c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18">
        <f>SUM(C40:N40)</f>
      </c>
      <c r="P40" s="120">
        <f>O40/$O$16</f>
      </c>
      <c r="Q40" s="1" t="str">
        <v>投放填写</v>
      </c>
      <c r="R40" s="1"/>
      <c r="S40" s="1"/>
      <c r="T40" s="1"/>
    </row>
    <row hidden="true" outlineLevel="1" r="41">
      <c r="A41" s="118"/>
      <c r="B41" s="90" t="str">
        <v>站内投放（费率）</v>
      </c>
      <c r="C41" s="171"/>
      <c r="D41" s="171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20">
        <f>O38/$O$16</f>
      </c>
      <c r="P41" s="1"/>
      <c r="Q41" s="1" t="str">
        <v>投放填写</v>
      </c>
      <c r="R41" s="1"/>
      <c r="S41" s="1"/>
      <c r="T41" s="1"/>
    </row>
    <row hidden="true" outlineLevel="1" r="42">
      <c r="A42" s="118"/>
      <c r="B42" s="90" t="str">
        <v>千川投放（费率）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20">
        <f>O39/$O$16</f>
      </c>
      <c r="P42" s="1"/>
      <c r="Q42" s="1" t="str">
        <v>投放填写</v>
      </c>
      <c r="R42" s="1"/>
      <c r="S42" s="1"/>
      <c r="T42" s="1"/>
    </row>
    <row hidden="true" outlineLevel="1" r="43">
      <c r="A43" s="118"/>
      <c r="B43" s="90" t="str">
        <v>站外投放（费率）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20">
        <f>O40/$O$16</f>
      </c>
      <c r="P43" s="1"/>
      <c r="Q43" s="1" t="str">
        <v>投放填写</v>
      </c>
      <c r="R43" s="1"/>
      <c r="S43" s="1"/>
      <c r="T43" s="1"/>
    </row>
    <row r="44">
      <c r="A44" s="1"/>
      <c r="B44" s="85" t="str">
        <v>线上营销费用</v>
      </c>
      <c r="C44" s="127">
        <f>SUM(C45:C46)</f>
      </c>
      <c r="D44" s="127">
        <f>SUM(D45:D46)</f>
      </c>
      <c r="E44" s="127">
        <f>SUM(E45:E46)</f>
      </c>
      <c r="F44" s="127">
        <f>SUM(F45:F46)</f>
      </c>
      <c r="G44" s="127">
        <f>SUM(G45:G46)</f>
      </c>
      <c r="H44" s="127">
        <f>SUM(H45:H46)</f>
      </c>
      <c r="I44" s="127">
        <f>SUM(I45:I46)</f>
      </c>
      <c r="J44" s="127">
        <f>SUM(J45:J46)</f>
      </c>
      <c r="K44" s="127">
        <f>SUM(K45:K46)</f>
      </c>
      <c r="L44" s="127">
        <f>SUM(L45:L46)</f>
      </c>
      <c r="M44" s="127">
        <f>SUM(M45:M46)</f>
      </c>
      <c r="N44" s="127">
        <f>SUM(N45:N46)</f>
      </c>
      <c r="O44" s="127">
        <f>SUM(C44:N44)</f>
      </c>
      <c r="P44" s="128">
        <f>O44/$O$16</f>
      </c>
      <c r="Q44" s="1"/>
      <c r="R44" s="1"/>
      <c r="S44" s="1"/>
      <c r="T44" s="1"/>
    </row>
    <row r="45">
      <c r="A45" s="118"/>
      <c r="B45" s="90" t="str">
        <v>直播费用</v>
      </c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18"/>
      <c r="P45" s="120">
        <v>0.01</v>
      </c>
      <c r="Q45" s="1" t="str">
        <v>达人填写</v>
      </c>
      <c r="R45" s="1"/>
      <c r="S45" s="1"/>
      <c r="T45" s="1"/>
    </row>
    <row r="46">
      <c r="A46" s="118"/>
      <c r="B46" s="90" t="str">
        <v>赠品费用</v>
      </c>
      <c r="C46" s="170">
        <f>C16*$P$46</f>
      </c>
      <c r="D46" s="170">
        <f>D16*$P$46</f>
      </c>
      <c r="E46" s="170">
        <f>E16*$P$46</f>
      </c>
      <c r="F46" s="170">
        <f>F16*$P$46</f>
      </c>
      <c r="G46" s="170">
        <f>G16*$P$46</f>
      </c>
      <c r="H46" s="170">
        <f>H16*$P$46</f>
      </c>
      <c r="I46" s="170">
        <f>I16*$P$46</f>
      </c>
      <c r="J46" s="170">
        <f>J16*$P$46</f>
      </c>
      <c r="K46" s="170">
        <f>K16*$P$46</f>
      </c>
      <c r="L46" s="170">
        <f>L16*$P$46</f>
      </c>
      <c r="M46" s="170">
        <f>M16*$P$46</f>
      </c>
      <c r="N46" s="170">
        <f>N16*$P$46</f>
      </c>
      <c r="O46" s="118">
        <f>SUM(C46:N46)</f>
      </c>
      <c r="P46" s="120">
        <v>0.02</v>
      </c>
      <c r="Q46" s="90" t="str">
        <v>渠道填写</v>
      </c>
      <c r="R46" s="1"/>
      <c r="S46" s="1"/>
      <c r="T46" s="1"/>
    </row>
    <row r="47">
      <c r="A47" s="1"/>
      <c r="B47" s="85" t="str">
        <v>线下市场费用</v>
      </c>
      <c r="C47" s="127">
        <f>SUM(C48:C51)</f>
      </c>
      <c r="D47" s="127">
        <f>SUM(D48:D51)</f>
      </c>
      <c r="E47" s="127">
        <f>SUM(E48:E51)</f>
      </c>
      <c r="F47" s="127">
        <f>SUM(F48:F51)</f>
      </c>
      <c r="G47" s="127">
        <f>SUM(G48:G51)</f>
      </c>
      <c r="H47" s="127">
        <f>SUM(H48:H51)</f>
      </c>
      <c r="I47" s="127">
        <f>SUM(I48:I51)</f>
      </c>
      <c r="J47" s="127">
        <f>SUM(J48:J51)</f>
      </c>
      <c r="K47" s="127">
        <f>SUM(K48:K51)</f>
      </c>
      <c r="L47" s="127">
        <f>SUM(L48:L51)</f>
      </c>
      <c r="M47" s="127">
        <f>SUM(M48:M51)</f>
      </c>
      <c r="N47" s="127">
        <f>SUM(N48:N51)</f>
      </c>
      <c r="O47" s="127">
        <f>SUM(C47:N47)</f>
      </c>
      <c r="P47" s="128">
        <f>O47/$O$16</f>
      </c>
      <c r="Q47" s="1"/>
      <c r="R47" s="1"/>
      <c r="S47" s="1"/>
      <c r="T47" s="1"/>
    </row>
    <row r="48">
      <c r="A48" s="118"/>
      <c r="B48" s="90" t="str">
        <v>线下渠道展陈、促销费用</v>
      </c>
      <c r="C48" s="170">
        <f>C8*0.05</f>
      </c>
      <c r="D48" s="170">
        <f>D8*0.05</f>
      </c>
      <c r="E48" s="170">
        <f>E8*0.05</f>
      </c>
      <c r="F48" s="170">
        <f>F8*0.05</f>
      </c>
      <c r="G48" s="170">
        <f>G8*0.05</f>
      </c>
      <c r="H48" s="170">
        <f>H8*0.05</f>
      </c>
      <c r="I48" s="170">
        <f>I8*0.05</f>
      </c>
      <c r="J48" s="170">
        <f>J8*0.05</f>
      </c>
      <c r="K48" s="170">
        <f>K8*0.05</f>
      </c>
      <c r="L48" s="170">
        <f>L8*0.05</f>
      </c>
      <c r="M48" s="170">
        <f>M8*0.05</f>
      </c>
      <c r="N48" s="170">
        <f>N8*0.05</f>
      </c>
      <c r="O48" s="118">
        <f>SUM(C48:N48)</f>
      </c>
      <c r="P48" s="120">
        <f>O48/$O$16</f>
      </c>
      <c r="Q48" s="90" t="str">
        <v>线下门店</v>
      </c>
      <c r="R48" s="1"/>
      <c r="S48" s="1"/>
      <c r="T48" s="1"/>
    </row>
    <row r="49">
      <c r="A49" s="118"/>
      <c r="B49" s="90" t="str">
        <v>租金+物业+水电</v>
      </c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18">
        <f>SUM(C49:N49)</f>
      </c>
      <c r="P49" s="120">
        <f>O49/$O$16</f>
      </c>
      <c r="Q49" s="90" t="str">
        <v>线下门店</v>
      </c>
      <c r="R49" s="1"/>
      <c r="S49" s="1"/>
      <c r="T49" s="1"/>
    </row>
    <row r="50">
      <c r="A50" s="118"/>
      <c r="B50" s="90" t="str">
        <v>门店人工</v>
      </c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18">
        <f>SUM(C50:N50)</f>
      </c>
      <c r="P50" s="120">
        <f>O50/$O$16</f>
      </c>
      <c r="Q50" s="90" t="str">
        <v>线下门店</v>
      </c>
      <c r="R50" s="1"/>
      <c r="S50" s="1"/>
      <c r="T50" s="1"/>
    </row>
    <row r="51">
      <c r="A51" s="1"/>
      <c r="B51" s="90" t="str">
        <v>门店展陈装修等其他</v>
      </c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18">
        <f>SUM(C51:N51)</f>
      </c>
      <c r="P51" s="120">
        <f>O51/$O$16</f>
      </c>
      <c r="Q51" s="90" t="str">
        <v>线下门店</v>
      </c>
      <c r="R51" s="1"/>
      <c r="S51" s="1"/>
      <c r="T51" s="1"/>
    </row>
    <row r="52">
      <c r="A52" s="1"/>
      <c r="B52" s="83" t="str">
        <v>市场投入费用</v>
      </c>
      <c r="C52" s="115">
        <f>SUM(C26,C37,C44,C47)</f>
      </c>
      <c r="D52" s="115">
        <f>SUM(D26,D37,D44,D47)</f>
      </c>
      <c r="E52" s="115">
        <f>SUM(E26,E37,E44,E47)</f>
      </c>
      <c r="F52" s="115">
        <f>SUM(F26,F37,F44,F47)</f>
      </c>
      <c r="G52" s="115">
        <f>SUM(G26,G37,G44,G47)</f>
      </c>
      <c r="H52" s="115">
        <f>SUM(H26,H37,H44,H47)</f>
      </c>
      <c r="I52" s="115">
        <f>SUM(I26,I37,I44,I47)</f>
      </c>
      <c r="J52" s="115">
        <f>SUM(J26,J37,J44,J47)</f>
      </c>
      <c r="K52" s="115">
        <f>SUM(K26,K37,K44,K47)</f>
      </c>
      <c r="L52" s="115">
        <f>SUM(L26,L37,L44,L47)</f>
      </c>
      <c r="M52" s="115">
        <f>SUM(M26,M37,M44,M47)</f>
      </c>
      <c r="N52" s="115">
        <f>SUM(N26,N37,N44,N47)</f>
      </c>
      <c r="O52" s="115">
        <f>SUM(C52:N52)</f>
      </c>
      <c r="P52" s="116">
        <f>O52/$O$16</f>
      </c>
      <c r="Q52" s="1"/>
      <c r="R52" s="1"/>
      <c r="S52" s="1"/>
      <c r="T52" s="1"/>
    </row>
    <row r="53">
      <c r="A53" s="118"/>
      <c r="B53" s="90" t="str">
        <v>平台佣金</v>
      </c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18"/>
      <c r="P53" s="120">
        <v>0.053</v>
      </c>
      <c r="Q53" s="1"/>
      <c r="R53" s="1"/>
      <c r="S53" s="1"/>
      <c r="T53" s="1"/>
    </row>
    <row r="54">
      <c r="A54" s="118"/>
      <c r="B54" s="90" t="str">
        <v>平台其他费用</v>
      </c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18"/>
      <c r="P54" s="120">
        <v>0.014</v>
      </c>
      <c r="Q54" s="1"/>
      <c r="R54" s="1"/>
      <c r="S54" s="1"/>
      <c r="T54" s="1"/>
    </row>
    <row r="55">
      <c r="A55" s="118"/>
      <c r="B55" s="90" t="str">
        <v>售后费用</v>
      </c>
      <c r="C55" s="170">
        <v>259000.4756407696</v>
      </c>
      <c r="D55" s="170">
        <v>169363.33268000744</v>
      </c>
      <c r="E55" s="170">
        <v>132102.08061216396</v>
      </c>
      <c r="F55" s="170">
        <v>203297.60406771422</v>
      </c>
      <c r="G55" s="170">
        <v>174591.41015670018</v>
      </c>
      <c r="H55" s="170">
        <v>122313.33198097371</v>
      </c>
      <c r="I55" s="170">
        <v>170416.35154391543</v>
      </c>
      <c r="J55" s="170">
        <v>131843.08528456095</v>
      </c>
      <c r="K55" s="170">
        <v>181671.43292669818</v>
      </c>
      <c r="L55" s="170">
        <v>143398.10115226777</v>
      </c>
      <c r="M55" s="170">
        <v>125599.9863654259</v>
      </c>
      <c r="N55" s="170">
        <v>122544.993679587</v>
      </c>
      <c r="O55" s="118">
        <f>SUM(C55:N55)</f>
      </c>
      <c r="P55" s="120">
        <v>0.03</v>
      </c>
      <c r="Q55" s="1"/>
      <c r="R55" s="1"/>
      <c r="S55" s="1"/>
      <c r="T55" s="1"/>
    </row>
    <row r="56">
      <c r="A56" s="118"/>
      <c r="B56" s="90" t="str">
        <v>短信及店铺软件</v>
      </c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18"/>
      <c r="P56" s="120">
        <v>0.001</v>
      </c>
      <c r="Q56" s="1"/>
      <c r="R56" s="1"/>
      <c r="S56" s="1"/>
      <c r="T56" s="1"/>
    </row>
    <row r="57">
      <c r="A57" s="118"/>
      <c r="B57" s="90" t="str">
        <v>其他运营费用（咨询调研等）</v>
      </c>
      <c r="C57" s="170">
        <v>30644.92482511259</v>
      </c>
      <c r="D57" s="170"/>
      <c r="E57" s="170"/>
      <c r="F57" s="170"/>
      <c r="G57" s="170">
        <v>12257.969930045036</v>
      </c>
      <c r="H57" s="170"/>
      <c r="I57" s="170"/>
      <c r="J57" s="170"/>
      <c r="K57" s="170"/>
      <c r="L57" s="170">
        <v>12257.969930045036</v>
      </c>
      <c r="M57" s="170"/>
      <c r="N57" s="170">
        <v>36773.909790135105</v>
      </c>
      <c r="O57" s="118">
        <f>SUM(C57:N57)</f>
      </c>
      <c r="P57" s="120">
        <f>O57/$O$16</f>
      </c>
      <c r="Q57" s="90"/>
      <c r="R57" s="1"/>
      <c r="S57" s="1"/>
      <c r="T57" s="1"/>
    </row>
    <row r="58">
      <c r="A58" s="1"/>
      <c r="B58" s="83" t="str">
        <v>店铺运营费用</v>
      </c>
      <c r="C58" s="115">
        <f>SUM(C53:C57)</f>
      </c>
      <c r="D58" s="115">
        <f>SUM(D53:D57)</f>
      </c>
      <c r="E58" s="115">
        <f>SUM(E53:E57)</f>
      </c>
      <c r="F58" s="115">
        <f>SUM(F53:F57)</f>
      </c>
      <c r="G58" s="115">
        <f>SUM(G53:G57)</f>
      </c>
      <c r="H58" s="115">
        <f>SUM(H53:H57)</f>
      </c>
      <c r="I58" s="115">
        <f>SUM(I53:I57)</f>
      </c>
      <c r="J58" s="115">
        <f>SUM(J53:J57)</f>
      </c>
      <c r="K58" s="115">
        <f>SUM(K53:K57)</f>
      </c>
      <c r="L58" s="115">
        <f>SUM(L53:L57)</f>
      </c>
      <c r="M58" s="115">
        <f>SUM(M53:M57)</f>
      </c>
      <c r="N58" s="115">
        <f>SUM(N53:N57)</f>
      </c>
      <c r="O58" s="115">
        <f>SUM(C58:N58)</f>
      </c>
      <c r="P58" s="116">
        <f>O58/$O$16</f>
      </c>
      <c r="Q58" s="1"/>
      <c r="R58" s="1"/>
      <c r="S58" s="1"/>
      <c r="T58" s="1"/>
    </row>
    <row r="59">
      <c r="A59" s="135"/>
      <c r="B59" s="98" t="str">
        <v>A&amp;P 合计数</v>
      </c>
      <c r="C59" s="98">
        <f>SUM(C52,C58)</f>
      </c>
      <c r="D59" s="98">
        <f>SUM(D52,D58)</f>
      </c>
      <c r="E59" s="98">
        <f>SUM(E52,E58)</f>
      </c>
      <c r="F59" s="98">
        <f>SUM(F52,F58)</f>
      </c>
      <c r="G59" s="98">
        <f>SUM(G52,G58)</f>
      </c>
      <c r="H59" s="98">
        <f>SUM(H52,H58)</f>
      </c>
      <c r="I59" s="98">
        <f>SUM(I52,I58)</f>
      </c>
      <c r="J59" s="98">
        <f>SUM(J52,J58)</f>
      </c>
      <c r="K59" s="98">
        <f>SUM(K52,K58)</f>
      </c>
      <c r="L59" s="98">
        <f>SUM(L52,L58)</f>
      </c>
      <c r="M59" s="98">
        <f>SUM(M52,M58)</f>
      </c>
      <c r="N59" s="98">
        <f>SUM(N52,N58)</f>
      </c>
      <c r="O59" s="98">
        <f>SUM(C59:N59)</f>
      </c>
      <c r="P59" s="162">
        <f>O59/$O$16</f>
      </c>
      <c r="Q59" s="135"/>
      <c r="R59" s="175"/>
      <c r="S59" s="1"/>
      <c r="T59" s="1"/>
    </row>
    <row r="60">
      <c r="A60" s="135"/>
      <c r="B60" s="98" t="str">
        <v>店铺利润</v>
      </c>
      <c r="C60" s="98">
        <f>C22-C59</f>
      </c>
      <c r="D60" s="98">
        <f>D22-D59</f>
      </c>
      <c r="E60" s="98">
        <f>E22-E59</f>
      </c>
      <c r="F60" s="98">
        <f>F22-F59</f>
      </c>
      <c r="G60" s="98">
        <f>G22-G59</f>
      </c>
      <c r="H60" s="98">
        <f>H22-H59</f>
      </c>
      <c r="I60" s="98">
        <f>I22-I59</f>
      </c>
      <c r="J60" s="98">
        <f>J22-J59</f>
      </c>
      <c r="K60" s="98">
        <f>K22-K59</f>
      </c>
      <c r="L60" s="98">
        <f>L22-L59</f>
      </c>
      <c r="M60" s="98">
        <f>M22-M59</f>
      </c>
      <c r="N60" s="98">
        <f>N22-N59</f>
      </c>
      <c r="O60" s="98">
        <f>SUM(C60:N60)</f>
      </c>
      <c r="P60" s="162">
        <f>O60/$O$16</f>
      </c>
      <c r="Q60" s="135"/>
      <c r="R60" s="182"/>
      <c r="S60" s="1"/>
      <c r="T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>
      <c r="A62" s="1"/>
      <c r="B62" s="1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"/>
      <c r="Q62" s="1"/>
      <c r="R62" s="1"/>
      <c r="S62" s="1"/>
      <c r="T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>
      <c r="A82" s="1"/>
      <c r="B82" s="1"/>
      <c r="C82" s="158">
        <f>C16-C18-C20-C26-C37-C44-C47-C58-C60</f>
      </c>
      <c r="D82" s="158">
        <f>D16-D18-D20-D26-D37-D44-D47-D58-D60</f>
      </c>
      <c r="E82" s="158">
        <f>E16-E18-E20-E26-E37-E44-E47-E58-E60</f>
      </c>
      <c r="F82" s="158">
        <f>F16-F18-F20-F26-F37-F44-F47-F58-F60</f>
      </c>
      <c r="G82" s="158">
        <f>G16-G18-G20-G26-G37-G44-G47-G58-G60</f>
      </c>
      <c r="H82" s="158">
        <f>H16-H18-H20-H26-H37-H44-H47-H58-H60</f>
      </c>
      <c r="I82" s="158">
        <f>I16-I18-I20-I26-I37-I44-I47-I58-I60</f>
      </c>
      <c r="J82" s="158">
        <f>J16-J18-J20-J26-J37-J44-J47-J58-J60</f>
      </c>
      <c r="K82" s="158">
        <f>K16-K18-K20-K26-K37-K44-K47-K58-K60</f>
      </c>
      <c r="L82" s="158">
        <f>L16-L18-L20-L26-L37-L44-L47-L58-L60</f>
      </c>
      <c r="M82" s="158">
        <f>M16-M18-M20-M26-M37-M44-M47-M58-M60</f>
      </c>
      <c r="N82" s="158">
        <f>N16-N18-N20-N26-N37-N44-N47-N58-N60</f>
      </c>
      <c r="O82" s="158">
        <f>O16-O18-O20-O26-O37-O44-O47-O58-O60</f>
      </c>
      <c r="P82" s="1"/>
      <c r="Q82" s="1"/>
      <c r="R82" s="1"/>
      <c r="S82" s="1"/>
      <c r="T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>
      <c r="A93" s="1"/>
      <c r="B93" s="1" t="str">
        <v>分摊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>
      <c r="A94" s="1"/>
      <c r="B94" s="85" t="str">
        <v>品牌及内容费用</v>
      </c>
      <c r="C94" s="127">
        <f>SUM(C95:C99)</f>
      </c>
      <c r="D94" s="127">
        <f>SUM(D95:D99)</f>
      </c>
      <c r="E94" s="127">
        <f>SUM(E95:E99)</f>
      </c>
      <c r="F94" s="127">
        <f>SUM(F95:F99)</f>
      </c>
      <c r="G94" s="127">
        <f>SUM(G95:G99)</f>
      </c>
      <c r="H94" s="127">
        <f>SUM(H95:H99)</f>
      </c>
      <c r="I94" s="127">
        <f>SUM(I95:I99)</f>
      </c>
      <c r="J94" s="127">
        <f>SUM(J95:J99)</f>
      </c>
      <c r="K94" s="127">
        <f>SUM(K95:K99)</f>
      </c>
      <c r="L94" s="127">
        <f>SUM(L95:L99)</f>
      </c>
      <c r="M94" s="127">
        <f>SUM(M95:M99)</f>
      </c>
      <c r="N94" s="127">
        <f>SUM(N95:N99)</f>
      </c>
      <c r="O94" s="1"/>
      <c r="P94" s="1"/>
      <c r="Q94" s="1"/>
      <c r="R94" s="1"/>
      <c r="S94" s="1"/>
      <c r="T94" s="1"/>
    </row>
    <row r="95">
      <c r="A95" s="1"/>
      <c r="B95" s="90" t="str">
        <v>展会</v>
      </c>
      <c r="C95" s="170">
        <f>'线下门店-小计'!C27*(C15/('26年全渠道汇总'!C15-'线下门店-小计'!C15))</f>
      </c>
      <c r="D95" s="170">
        <f>'线下门店-小计'!D27*(D15/('26年全渠道汇总'!D15-'线下门店-小计'!D15))</f>
      </c>
      <c r="E95" s="170">
        <f>'线下门店-小计'!E27*(E15/('26年全渠道汇总'!E15-'线下门店-小计'!E15))</f>
      </c>
      <c r="F95" s="170">
        <f>'线下门店-小计'!F27*(F15/('26年全渠道汇总'!F15-'线下门店-小计'!F15))</f>
      </c>
      <c r="G95" s="170">
        <f>'线下门店-小计'!G27*(G15/('26年全渠道汇总'!G15-'线下门店-小计'!G15))</f>
      </c>
      <c r="H95" s="170">
        <f>'线下门店-小计'!H27*(H15/('26年全渠道汇总'!H15-'线下门店-小计'!H15))</f>
      </c>
      <c r="I95" s="170">
        <f>'线下门店-小计'!I27*(I15/('26年全渠道汇总'!I15-'线下门店-小计'!I15))</f>
      </c>
      <c r="J95" s="170">
        <f>'线下门店-小计'!J27*(J15/('26年全渠道汇总'!J15-'线下门店-小计'!J15))</f>
      </c>
      <c r="K95" s="170">
        <f>'线下门店-小计'!K27*(K15/('26年全渠道汇总'!K15-'线下门店-小计'!K15))</f>
      </c>
      <c r="L95" s="170">
        <f>'线下门店-小计'!L27*(L15/('26年全渠道汇总'!L15-'线下门店-小计'!L15))</f>
      </c>
      <c r="M95" s="170">
        <f>'线下门店-小计'!M27*(M15/('26年全渠道汇总'!M15-'线下门店-小计'!M15))</f>
      </c>
      <c r="N95" s="170">
        <f>'线下门店-小计'!N27*(N15/('26年全渠道汇总'!N15-'线下门店-小计'!N15))</f>
      </c>
      <c r="O95" s="1"/>
      <c r="P95" s="1"/>
      <c r="Q95" s="1"/>
      <c r="R95" s="1"/>
      <c r="S95" s="1"/>
      <c r="T95" s="1"/>
    </row>
    <row r="96">
      <c r="A96" s="1"/>
      <c r="B96" s="90" t="str">
        <v>品牌营销</v>
      </c>
      <c r="C96" s="170">
        <f>'线下门店-小计'!C28*(C15/('26年全渠道汇总'!C15-'线下门店-小计'!C15))</f>
      </c>
      <c r="D96" s="170">
        <f>'线下门店-小计'!D28*(D15/('26年全渠道汇总'!D15-'线下门店-小计'!D15))</f>
      </c>
      <c r="E96" s="170">
        <f>'线下门店-小计'!E28*(E15/('26年全渠道汇总'!E15-'线下门店-小计'!E15))</f>
      </c>
      <c r="F96" s="170">
        <f>'线下门店-小计'!F28*(F15/('26年全渠道汇总'!F15-'线下门店-小计'!F15))</f>
      </c>
      <c r="G96" s="170">
        <f>'线下门店-小计'!G28*(G15/('26年全渠道汇总'!G15-'线下门店-小计'!G15))</f>
      </c>
      <c r="H96" s="170">
        <f>'线下门店-小计'!H28*(H15/('26年全渠道汇总'!H15-'线下门店-小计'!H15))</f>
      </c>
      <c r="I96" s="170">
        <f>'线下门店-小计'!I28*(I15/('26年全渠道汇总'!I15-'线下门店-小计'!I15))</f>
      </c>
      <c r="J96" s="170">
        <f>'线下门店-小计'!J28*(J15/('26年全渠道汇总'!J15-'线下门店-小计'!J15))</f>
      </c>
      <c r="K96" s="170">
        <f>'线下门店-小计'!K28*(K15/('26年全渠道汇总'!K15-'线下门店-小计'!K15))</f>
      </c>
      <c r="L96" s="170">
        <f>'线下门店-小计'!L28*(L15/('26年全渠道汇总'!L15-'线下门店-小计'!L15))</f>
      </c>
      <c r="M96" s="170">
        <f>'线下门店-小计'!M28*(M15/('26年全渠道汇总'!M15-'线下门店-小计'!M15))</f>
      </c>
      <c r="N96" s="170">
        <f>'线下门店-小计'!N28*(N15/('26年全渠道汇总'!N15-'线下门店-小计'!N15))</f>
      </c>
      <c r="O96" s="1"/>
      <c r="P96" s="1"/>
      <c r="Q96" s="1"/>
      <c r="R96" s="1"/>
      <c r="S96" s="1"/>
      <c r="T96" s="1"/>
    </row>
    <row r="97">
      <c r="A97" s="1"/>
      <c r="B97" s="90" t="str">
        <v>内容素材制作</v>
      </c>
      <c r="C97" s="170">
        <f>'线下门店-小计'!C29*(C15/('26年全渠道汇总'!C15-'线下门店-小计'!C15))</f>
      </c>
      <c r="D97" s="170">
        <f>'线下门店-小计'!D29*(D15/('26年全渠道汇总'!D15-'线下门店-小计'!D15))</f>
      </c>
      <c r="E97" s="170">
        <f>'线下门店-小计'!E29*(E15/('26年全渠道汇总'!E15-'线下门店-小计'!E15))</f>
      </c>
      <c r="F97" s="170">
        <f>'线下门店-小计'!F29*(F15/('26年全渠道汇总'!F15-'线下门店-小计'!F15))</f>
      </c>
      <c r="G97" s="170">
        <f>'线下门店-小计'!G29*(G15/('26年全渠道汇总'!G15-'线下门店-小计'!G15))</f>
      </c>
      <c r="H97" s="170">
        <f>'线下门店-小计'!H29*(H15/('26年全渠道汇总'!H15-'线下门店-小计'!H15))</f>
      </c>
      <c r="I97" s="170">
        <f>'线下门店-小计'!I29*(I15/('26年全渠道汇总'!I15-'线下门店-小计'!I15))</f>
      </c>
      <c r="J97" s="170">
        <f>'线下门店-小计'!J29*(J15/('26年全渠道汇总'!J15-'线下门店-小计'!J15))</f>
      </c>
      <c r="K97" s="170">
        <f>'线下门店-小计'!K29*(K15/('26年全渠道汇总'!K15-'线下门店-小计'!K15))</f>
      </c>
      <c r="L97" s="170">
        <f>'线下门店-小计'!L29*(L15/('26年全渠道汇总'!L15-'线下门店-小计'!L15))</f>
      </c>
      <c r="M97" s="170">
        <f>'线下门店-小计'!M29*(M15/('26年全渠道汇总'!M15-'线下门店-小计'!M15))</f>
      </c>
      <c r="N97" s="170">
        <f>'线下门店-小计'!N29*(N15/('26年全渠道汇总'!N15-'线下门店-小计'!N15))</f>
      </c>
      <c r="O97" s="1"/>
      <c r="P97" s="1"/>
      <c r="Q97" s="1"/>
      <c r="R97" s="1"/>
      <c r="S97" s="1"/>
      <c r="T97" s="1"/>
    </row>
    <row r="98">
      <c r="A98" s="1"/>
      <c r="B98" s="90" t="str">
        <v>公关费用</v>
      </c>
      <c r="C98" s="170">
        <f>'线下门店-小计'!C30*(C15/('26年全渠道汇总'!C15-'线下门店-小计'!C15))</f>
      </c>
      <c r="D98" s="170">
        <f>'线下门店-小计'!D30*(D15/('26年全渠道汇总'!D15-'线下门店-小计'!D15))</f>
      </c>
      <c r="E98" s="170">
        <f>'线下门店-小计'!E30*(E15/('26年全渠道汇总'!E15-'线下门店-小计'!E15))</f>
      </c>
      <c r="F98" s="170">
        <f>'线下门店-小计'!F30*(F15/('26年全渠道汇总'!F15-'线下门店-小计'!F15))</f>
      </c>
      <c r="G98" s="170">
        <f>'线下门店-小计'!G30*(G15/('26年全渠道汇总'!G15-'线下门店-小计'!G15))</f>
      </c>
      <c r="H98" s="170">
        <f>'线下门店-小计'!H30*(H15/('26年全渠道汇总'!H15-'线下门店-小计'!H15))</f>
      </c>
      <c r="I98" s="170">
        <f>'线下门店-小计'!I30*(I15/('26年全渠道汇总'!I15-'线下门店-小计'!I15))</f>
      </c>
      <c r="J98" s="170">
        <f>'线下门店-小计'!J30*(J15/('26年全渠道汇总'!J15-'线下门店-小计'!J15))</f>
      </c>
      <c r="K98" s="170">
        <f>'线下门店-小计'!K30*(K15/('26年全渠道汇总'!K15-'线下门店-小计'!K15))</f>
      </c>
      <c r="L98" s="170">
        <f>'线下门店-小计'!L30*(L15/('26年全渠道汇总'!L15-'线下门店-小计'!L15))</f>
      </c>
      <c r="M98" s="170">
        <f>'线下门店-小计'!M30*(M15/('26年全渠道汇总'!M15-'线下门店-小计'!M15))</f>
      </c>
      <c r="N98" s="170">
        <f>'线下门店-小计'!N30*(N15/('26年全渠道汇总'!N15-'线下门店-小计'!N15))</f>
      </c>
      <c r="O98" s="1"/>
      <c r="P98" s="1"/>
      <c r="Q98" s="1"/>
      <c r="R98" s="1"/>
      <c r="S98" s="1"/>
      <c r="T98" s="1"/>
    </row>
    <row r="99">
      <c r="A99" s="1"/>
      <c r="B99" s="90" t="str">
        <v>达人种草、样机及加热</v>
      </c>
      <c r="C99" s="170">
        <f>'线下门店-小计'!C31*(C15/('26年全渠道汇总'!C15-'线下门店-小计'!C15))</f>
      </c>
      <c r="D99" s="170">
        <f>'线下门店-小计'!D31*(D15/('26年全渠道汇总'!D15-'线下门店-小计'!D15))</f>
      </c>
      <c r="E99" s="170">
        <f>'线下门店-小计'!E31*(E15/('26年全渠道汇总'!E15-'线下门店-小计'!E15))</f>
      </c>
      <c r="F99" s="170">
        <f>'线下门店-小计'!F31*(F15/('26年全渠道汇总'!F15-'线下门店-小计'!F15))</f>
      </c>
      <c r="G99" s="170">
        <f>'线下门店-小计'!G31*(G15/('26年全渠道汇总'!G15-'线下门店-小计'!G15))</f>
      </c>
      <c r="H99" s="170">
        <f>'线下门店-小计'!H31*(H15/('26年全渠道汇总'!H15-'线下门店-小计'!H15))</f>
      </c>
      <c r="I99" s="170">
        <f>'线下门店-小计'!I31*(I15/('26年全渠道汇总'!I15-'线下门店-小计'!I15))</f>
      </c>
      <c r="J99" s="170">
        <f>'线下门店-小计'!J31*(J15/('26年全渠道汇总'!J15-'线下门店-小计'!J15))</f>
      </c>
      <c r="K99" s="170">
        <f>'线下门店-小计'!K31*(K15/('26年全渠道汇总'!K15-'线下门店-小计'!K15))</f>
      </c>
      <c r="L99" s="170">
        <f>'线下门店-小计'!L31*(L15/('26年全渠道汇总'!L15-'线下门店-小计'!L15))</f>
      </c>
      <c r="M99" s="170">
        <f>'线下门店-小计'!M31*(M15/('26年全渠道汇总'!M15-'线下门店-小计'!M15))</f>
      </c>
      <c r="N99" s="170">
        <f>'线下门店-小计'!N31*(N15/('26年全渠道汇总'!N15-'线下门店-小计'!N15))</f>
      </c>
      <c r="O99" s="1"/>
      <c r="P99" s="1"/>
      <c r="Q99" s="1"/>
      <c r="R99" s="1"/>
      <c r="S99" s="1"/>
      <c r="T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>
      <c r="A101" s="1"/>
      <c r="B101" s="1" t="str">
        <v>总计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>
      <c r="A102" s="1"/>
      <c r="B102" s="85" t="str">
        <v>品牌及内容费用</v>
      </c>
      <c r="C102" s="127">
        <f>SUM(C103:C107)</f>
      </c>
      <c r="D102" s="127">
        <f>SUM(D103:D107)</f>
      </c>
      <c r="E102" s="127">
        <f>SUM(E103:E107)</f>
      </c>
      <c r="F102" s="127">
        <f>SUM(F103:F107)</f>
      </c>
      <c r="G102" s="127">
        <f>SUM(G103:G107)</f>
      </c>
      <c r="H102" s="127">
        <f>SUM(H103:H107)</f>
      </c>
      <c r="I102" s="127">
        <f>SUM(I103:I107)</f>
      </c>
      <c r="J102" s="127">
        <f>SUM(J103:J107)</f>
      </c>
      <c r="K102" s="127">
        <f>SUM(K103:K107)</f>
      </c>
      <c r="L102" s="127">
        <f>SUM(L103:L107)</f>
      </c>
      <c r="M102" s="127">
        <f>SUM(M103:M107)</f>
      </c>
      <c r="N102" s="127">
        <f>SUM(N103:N107)</f>
      </c>
      <c r="O102" s="1"/>
      <c r="P102" s="1"/>
      <c r="Q102" s="1"/>
      <c r="R102" s="1"/>
      <c r="S102" s="1"/>
      <c r="T102" s="1"/>
    </row>
    <row r="103">
      <c r="A103" s="1"/>
      <c r="B103" s="90" t="str">
        <v>展会</v>
      </c>
      <c r="C103" s="229">
        <f>C95+C27</f>
      </c>
      <c r="D103" s="229">
        <f>D95+D27</f>
      </c>
      <c r="E103" s="229">
        <f>E95+E27</f>
      </c>
      <c r="F103" s="229">
        <f>F95+F27</f>
      </c>
      <c r="G103" s="229">
        <f>G95+G27</f>
      </c>
      <c r="H103" s="229">
        <f>H95+H27</f>
      </c>
      <c r="I103" s="229">
        <f>I95+I27</f>
      </c>
      <c r="J103" s="229">
        <f>J95+J27</f>
      </c>
      <c r="K103" s="229">
        <f>K95+K27</f>
      </c>
      <c r="L103" s="229">
        <f>L95+L27</f>
      </c>
      <c r="M103" s="170">
        <f>M95+M27</f>
      </c>
      <c r="N103" s="170">
        <f>N95+N27</f>
      </c>
      <c r="O103" s="1"/>
      <c r="P103" s="1"/>
      <c r="Q103" s="1"/>
      <c r="R103" s="1"/>
      <c r="S103" s="1"/>
      <c r="T103" s="1"/>
    </row>
    <row r="104">
      <c r="A104" s="1"/>
      <c r="B104" s="90" t="str">
        <v>品牌营销</v>
      </c>
      <c r="C104" s="229">
        <f>C96+C28</f>
      </c>
      <c r="D104" s="229">
        <f>D96+D28</f>
      </c>
      <c r="E104" s="229">
        <f>E96+E28</f>
      </c>
      <c r="F104" s="229">
        <f>F96+F28</f>
      </c>
      <c r="G104" s="229">
        <f>G96+G28</f>
      </c>
      <c r="H104" s="229">
        <f>H96+H28</f>
      </c>
      <c r="I104" s="229">
        <f>I96+I28</f>
      </c>
      <c r="J104" s="229">
        <f>J96+J28</f>
      </c>
      <c r="K104" s="229">
        <f>K96+K28</f>
      </c>
      <c r="L104" s="229">
        <f>L96+L28</f>
      </c>
      <c r="M104" s="170">
        <f>M96+M28</f>
      </c>
      <c r="N104" s="170">
        <f>N96+N28</f>
      </c>
      <c r="O104" s="1"/>
      <c r="P104" s="1"/>
      <c r="Q104" s="1"/>
      <c r="R104" s="1"/>
      <c r="S104" s="1"/>
      <c r="T104" s="1"/>
    </row>
    <row r="105">
      <c r="A105" s="1"/>
      <c r="B105" s="90" t="str">
        <v>内容素材制作</v>
      </c>
      <c r="C105" s="229">
        <f>C97+C29</f>
      </c>
      <c r="D105" s="229">
        <f>D97+D29</f>
      </c>
      <c r="E105" s="229">
        <f>E97+E29</f>
      </c>
      <c r="F105" s="229">
        <f>F97+F29</f>
      </c>
      <c r="G105" s="229">
        <f>G97+G29</f>
      </c>
      <c r="H105" s="229">
        <f>H97+H29</f>
      </c>
      <c r="I105" s="229">
        <f>I97+I29</f>
      </c>
      <c r="J105" s="229">
        <f>J97+J29</f>
      </c>
      <c r="K105" s="229">
        <f>K97+K29</f>
      </c>
      <c r="L105" s="229">
        <f>L97+L29</f>
      </c>
      <c r="M105" s="170">
        <f>M97+M29</f>
      </c>
      <c r="N105" s="170">
        <f>N97+N29</f>
      </c>
      <c r="O105" s="1"/>
      <c r="P105" s="1"/>
      <c r="Q105" s="1"/>
      <c r="R105" s="1"/>
      <c r="S105" s="1"/>
      <c r="T105" s="1"/>
    </row>
    <row r="106">
      <c r="A106" s="1"/>
      <c r="B106" s="90" t="str">
        <v>公关费用</v>
      </c>
      <c r="C106" s="229">
        <f>C98+C30</f>
      </c>
      <c r="D106" s="229">
        <f>D98+D30</f>
      </c>
      <c r="E106" s="229">
        <f>E98+E30</f>
      </c>
      <c r="F106" s="229">
        <f>F98+F30</f>
      </c>
      <c r="G106" s="229">
        <f>G98+G30</f>
      </c>
      <c r="H106" s="229">
        <f>H98+H30</f>
      </c>
      <c r="I106" s="229">
        <f>I98+I30</f>
      </c>
      <c r="J106" s="229">
        <f>J98+J30</f>
      </c>
      <c r="K106" s="229">
        <f>K98+K30</f>
      </c>
      <c r="L106" s="229">
        <f>L98+L30</f>
      </c>
      <c r="M106" s="170">
        <f>M98+M30</f>
      </c>
      <c r="N106" s="170">
        <f>N98+N30</f>
      </c>
      <c r="O106" s="1"/>
      <c r="P106" s="1"/>
      <c r="Q106" s="1"/>
      <c r="R106" s="1"/>
      <c r="S106" s="1"/>
      <c r="T106" s="1"/>
    </row>
    <row r="107">
      <c r="A107" s="1"/>
      <c r="B107" s="90" t="str">
        <v>达人种草、样机及加热</v>
      </c>
      <c r="C107" s="229">
        <f>C99+C31</f>
      </c>
      <c r="D107" s="229">
        <f>D99+D31</f>
      </c>
      <c r="E107" s="229">
        <f>E99+E31</f>
      </c>
      <c r="F107" s="229">
        <f>F99+F31</f>
      </c>
      <c r="G107" s="229">
        <f>G99+G31</f>
      </c>
      <c r="H107" s="229">
        <f>H99+H31</f>
      </c>
      <c r="I107" s="229">
        <f>I99+I31</f>
      </c>
      <c r="J107" s="229">
        <f>J99+J31</f>
      </c>
      <c r="K107" s="229">
        <f>K99+K31</f>
      </c>
      <c r="L107" s="229">
        <f>L99+L31</f>
      </c>
      <c r="M107" s="170">
        <f>M99+M31</f>
      </c>
      <c r="N107" s="170">
        <f>N99+N31</f>
      </c>
      <c r="O107" s="1"/>
      <c r="P107" s="1"/>
      <c r="Q107" s="1"/>
      <c r="R107" s="1"/>
      <c r="S107" s="1"/>
      <c r="T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</sheetData>
  <picture r:id="rId1"/>
</worksheet>
</file>

<file path=xl/worksheets/sheet29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7"/>
    <col collapsed="false" customWidth="true" hidden="false" max="2" min="2" style="0" width="30"/>
    <col collapsed="false" customWidth="true" hidden="false" max="3" min="3" style="0" width="19"/>
    <col collapsed="false" customWidth="true" hidden="false" max="4" min="4" style="0" width="19"/>
    <col collapsed="false" customWidth="true" hidden="false" max="5" min="5" style="0" width="19"/>
    <col collapsed="false" customWidth="true" hidden="false" max="6" min="6" style="0" width="19"/>
    <col collapsed="false" customWidth="true" hidden="false" max="7" min="7" style="0" width="19"/>
    <col collapsed="false" customWidth="true" hidden="false" max="8" min="8" style="0" width="19"/>
    <col collapsed="false" customWidth="true" hidden="false" max="9" min="9" style="0" width="19"/>
    <col collapsed="false" customWidth="true" hidden="false" max="10" min="10" style="0" width="19"/>
    <col collapsed="false" customWidth="true" hidden="false" max="11" min="11" style="0" width="19"/>
    <col collapsed="false" customWidth="true" hidden="false" max="12" min="12" style="0" width="19"/>
    <col collapsed="false" customWidth="true" hidden="false" max="13" min="13" style="0" width="19"/>
    <col collapsed="false" customWidth="true" hidden="false" max="14" min="14" style="0" width="19"/>
    <col collapsed="false" customWidth="true" hidden="false" max="15" min="15" style="0" width="19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1"/>
    <col collapsed="false" customWidth="true" hidden="false" max="19" min="19" style="0" width="14"/>
    <col collapsed="false" customWidth="true" hidden="false" max="20" min="20" style="0" width="14"/>
  </cols>
  <sheetData>
    <row r="1">
      <c r="B1" s="109" t="str">
        <v>Items</v>
      </c>
      <c r="C1" s="108" t="str">
        <v>1月</v>
      </c>
      <c r="D1" s="108" t="str">
        <v>2月</v>
      </c>
      <c r="E1" s="108" t="str">
        <v>3月</v>
      </c>
      <c r="F1" s="108" t="str">
        <v>4月</v>
      </c>
      <c r="G1" s="108" t="str">
        <v>5月</v>
      </c>
      <c r="H1" s="108" t="str">
        <v>6月</v>
      </c>
      <c r="I1" s="108" t="str">
        <v>7月</v>
      </c>
      <c r="J1" s="108" t="str">
        <v>8月</v>
      </c>
      <c r="K1" s="108" t="str">
        <v>9月</v>
      </c>
      <c r="L1" s="108" t="str">
        <v>10月</v>
      </c>
      <c r="M1" s="108" t="str">
        <v>11月</v>
      </c>
      <c r="N1" s="108" t="str">
        <v>12月</v>
      </c>
      <c r="O1" s="108" t="str">
        <v>合计 1-12月</v>
      </c>
      <c r="P1" s="108" t="str">
        <v>费比</v>
      </c>
      <c r="Q1" s="156" t="str">
        <v>备注</v>
      </c>
    </row>
    <row r="2">
      <c r="B2" s="90" t="str">
        <v>退后销量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>
        <f>SUM(C2:N2)</f>
      </c>
      <c r="P2" s="88"/>
      <c r="Q2" s="1"/>
    </row>
    <row r="3">
      <c r="A3" s="97"/>
      <c r="B3" s="94" t="str">
        <v>自补前GMV</v>
      </c>
      <c r="C3" s="93">
        <f>C6</f>
      </c>
      <c r="D3" s="93">
        <f>D6</f>
      </c>
      <c r="E3" s="93">
        <f>E6</f>
      </c>
      <c r="F3" s="93">
        <f>F6</f>
      </c>
      <c r="G3" s="93">
        <f>G6</f>
      </c>
      <c r="H3" s="93">
        <f>H6</f>
      </c>
      <c r="I3" s="93">
        <f>I6</f>
      </c>
      <c r="J3" s="93">
        <f>J6</f>
      </c>
      <c r="K3" s="93">
        <f>K6</f>
      </c>
      <c r="L3" s="93">
        <f>L6</f>
      </c>
      <c r="M3" s="93">
        <f>M6</f>
      </c>
      <c r="N3" s="93">
        <f>N6</f>
      </c>
      <c r="O3" s="93">
        <f>SUM(C3:N3)</f>
      </c>
      <c r="P3" s="93"/>
      <c r="Q3" s="146" t="str">
        <v>渠道填写</v>
      </c>
    </row>
    <row r="4">
      <c r="A4" s="97"/>
      <c r="B4" s="94" t="str">
        <v>自补前GSV</v>
      </c>
      <c r="C4" s="93">
        <v>8749253</v>
      </c>
      <c r="D4" s="93">
        <v>9461973</v>
      </c>
      <c r="E4" s="93">
        <v>7458922</v>
      </c>
      <c r="F4" s="93">
        <v>6647896</v>
      </c>
      <c r="G4" s="93">
        <v>12336196</v>
      </c>
      <c r="H4" s="93">
        <v>11316371</v>
      </c>
      <c r="I4" s="93">
        <v>8626370</v>
      </c>
      <c r="J4" s="93">
        <v>11133178</v>
      </c>
      <c r="K4" s="93">
        <v>8515775</v>
      </c>
      <c r="L4" s="93">
        <v>12546330</v>
      </c>
      <c r="M4" s="93">
        <v>14217537</v>
      </c>
      <c r="N4" s="93">
        <v>11858433</v>
      </c>
      <c r="O4" s="93">
        <f>SUM(C4:N4)</f>
      </c>
      <c r="P4" s="93"/>
      <c r="Q4" s="146" t="str">
        <v>渠道填写</v>
      </c>
    </row>
    <row r="5">
      <c r="A5" s="97"/>
      <c r="B5" s="94" t="str">
        <v>国补自补费用</v>
      </c>
      <c r="C5" s="93">
        <f>C3*$P$12</f>
      </c>
      <c r="D5" s="93">
        <f>D3*$P$12</f>
      </c>
      <c r="E5" s="93">
        <f>E3*$P$12</f>
      </c>
      <c r="F5" s="93">
        <f>F3*$P$12</f>
      </c>
      <c r="G5" s="93">
        <f>G3*$P$12</f>
      </c>
      <c r="H5" s="93">
        <f>H3*$P$12</f>
      </c>
      <c r="I5" s="93">
        <f>I3*$P$12</f>
      </c>
      <c r="J5" s="93">
        <f>J3*$P$12</f>
      </c>
      <c r="K5" s="93">
        <f>K3*$P$12</f>
      </c>
      <c r="L5" s="93">
        <f>L3*$P$12</f>
      </c>
      <c r="M5" s="93">
        <f>M3*$P$12</f>
      </c>
      <c r="N5" s="93">
        <f>N3*$P$12</f>
      </c>
      <c r="O5" s="93">
        <f>SUM(C5:N5)</f>
      </c>
      <c r="P5" s="93"/>
      <c r="Q5" s="126" t="str">
        <v>渠道填写</v>
      </c>
      <c r="R5">
        <f>N6+2496</f>
      </c>
    </row>
    <row r="6">
      <c r="A6" s="97"/>
      <c r="B6" s="98" t="str">
        <v>GMV（国补后）</v>
      </c>
      <c r="C6" s="95">
        <v>9406249</v>
      </c>
      <c r="D6" s="95">
        <v>10532765</v>
      </c>
      <c r="E6" s="95">
        <v>8303033</v>
      </c>
      <c r="F6" s="95">
        <v>7400225</v>
      </c>
      <c r="G6" s="95">
        <v>13777643</v>
      </c>
      <c r="H6" s="95">
        <v>12638655</v>
      </c>
      <c r="I6" s="95">
        <v>9634336</v>
      </c>
      <c r="J6" s="95">
        <v>12434058</v>
      </c>
      <c r="K6" s="95">
        <v>9510819</v>
      </c>
      <c r="L6" s="95">
        <v>14012330</v>
      </c>
      <c r="M6" s="95">
        <v>15878813</v>
      </c>
      <c r="N6" s="95">
        <v>13244056</v>
      </c>
      <c r="O6" s="95">
        <f>SUM(C6:N6)</f>
      </c>
      <c r="P6" s="95"/>
      <c r="Q6" s="126" t="str">
        <v>渠道填写</v>
      </c>
    </row>
    <row r="7">
      <c r="A7" s="97"/>
      <c r="B7" s="102" t="str">
        <v>退货率（发货前+后）</v>
      </c>
      <c r="C7" s="103">
        <v>0.13</v>
      </c>
      <c r="D7" s="103">
        <v>0.13</v>
      </c>
      <c r="E7" s="103">
        <v>0.13</v>
      </c>
      <c r="F7" s="103">
        <v>0.13</v>
      </c>
      <c r="G7" s="103">
        <v>0.15000000000000002</v>
      </c>
      <c r="H7" s="103">
        <v>0.15000000000000002</v>
      </c>
      <c r="I7" s="103">
        <v>0.13</v>
      </c>
      <c r="J7" s="103">
        <v>0.13</v>
      </c>
      <c r="K7" s="103">
        <v>0.13</v>
      </c>
      <c r="L7" s="103">
        <v>0.13</v>
      </c>
      <c r="M7" s="103">
        <v>0.15000000000000002</v>
      </c>
      <c r="N7" s="103">
        <v>0.13</v>
      </c>
      <c r="O7" s="103">
        <f>1-O8/O6</f>
      </c>
      <c r="P7" s="103"/>
      <c r="Q7" s="1" t="str">
        <v>渠道填写</v>
      </c>
    </row>
    <row r="8">
      <c r="A8" s="97"/>
      <c r="B8" s="98" t="str">
        <v>GSV（国补后）</v>
      </c>
      <c r="C8" s="95">
        <v>7605128.790925813</v>
      </c>
      <c r="D8" s="95">
        <v>8515938.111946188</v>
      </c>
      <c r="E8" s="95">
        <v>6713157.957046121</v>
      </c>
      <c r="F8" s="95">
        <v>5983220.751101633</v>
      </c>
      <c r="G8" s="95">
        <v>11139482.853409206</v>
      </c>
      <c r="H8" s="95">
        <v>10218589.686396616</v>
      </c>
      <c r="I8" s="95">
        <v>7789541.409657881</v>
      </c>
      <c r="J8" s="95">
        <v>10053169.1733699</v>
      </c>
      <c r="K8" s="95">
        <v>7689675.597805698</v>
      </c>
      <c r="L8" s="95">
        <v>11329231.695966532</v>
      </c>
      <c r="M8" s="95">
        <v>12838318.219305813</v>
      </c>
      <c r="N8" s="95">
        <v>10708067.7530686</v>
      </c>
      <c r="O8" s="95">
        <f>SUM(C8:N8)</f>
      </c>
      <c r="P8" s="95"/>
      <c r="Q8" s="1" t="str">
        <v>渠道填写</v>
      </c>
    </row>
    <row r="9">
      <c r="B9" s="90"/>
      <c r="C9" s="105">
        <f>C6/$O$6</f>
      </c>
      <c r="D9" s="105">
        <f>D6/$O$6</f>
      </c>
      <c r="E9" s="105">
        <f>E6/$O$6</f>
      </c>
      <c r="F9" s="105">
        <f>F6/$O$6</f>
      </c>
      <c r="G9" s="105">
        <f>G6/$O$6</f>
      </c>
      <c r="H9" s="105">
        <f>H6/$O$6</f>
      </c>
      <c r="I9" s="105">
        <f>I6/$O$6</f>
      </c>
      <c r="J9" s="105">
        <f>J6/$O$6</f>
      </c>
      <c r="K9" s="105">
        <f>K6/$O$6</f>
      </c>
      <c r="L9" s="105">
        <f>L6/$O$6</f>
      </c>
      <c r="M9" s="105">
        <f>M6/$O$6</f>
      </c>
      <c r="N9" s="105">
        <f>N6/$O$6</f>
      </c>
      <c r="O9" s="105">
        <f>O6/$O$6</f>
      </c>
      <c r="P9" s="88"/>
      <c r="Q9" s="1"/>
    </row>
    <row r="10">
      <c r="A10" s="97"/>
      <c r="B10" s="98" t="str">
        <v>零售价（去除退货后的）</v>
      </c>
      <c r="C10" s="95">
        <v>11297690.080000002</v>
      </c>
      <c r="D10" s="95">
        <v>12218007.399999999</v>
      </c>
      <c r="E10" s="95">
        <v>9631518.28</v>
      </c>
      <c r="F10" s="95">
        <v>8584261</v>
      </c>
      <c r="G10" s="95">
        <v>15614662.066666666</v>
      </c>
      <c r="H10" s="95">
        <v>14323809</v>
      </c>
      <c r="I10" s="95">
        <v>11175829.760000002</v>
      </c>
      <c r="J10" s="95">
        <v>14423507.280000001</v>
      </c>
      <c r="K10" s="95">
        <v>11032550.04</v>
      </c>
      <c r="L10" s="95">
        <v>16254302.799999999</v>
      </c>
      <c r="M10" s="95">
        <v>17995988.066666666</v>
      </c>
      <c r="N10" s="95">
        <v>15363104.959999999</v>
      </c>
      <c r="O10" s="95">
        <f>SUM(C10:N10)</f>
      </c>
      <c r="P10" s="95"/>
      <c r="Q10" s="1"/>
    </row>
    <row r="11">
      <c r="B11" s="85" t="str">
        <v>合同折扣及返利 (线下）</v>
      </c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84"/>
      <c r="N11" s="84"/>
      <c r="O11" s="84">
        <f>SUM(C11:N11)</f>
      </c>
      <c r="P11" s="84"/>
      <c r="Q11" s="1" t="str">
        <v>线下渠道填写</v>
      </c>
    </row>
    <row r="12">
      <c r="B12" s="85" t="str">
        <v>国补自补 （线上）</v>
      </c>
      <c r="C12" s="84">
        <f>C3*$P$12</f>
      </c>
      <c r="D12" s="84">
        <f>D3*$P$12</f>
      </c>
      <c r="E12" s="84">
        <f>E3*$P$12</f>
      </c>
      <c r="F12" s="84">
        <f>F3*$P$12</f>
      </c>
      <c r="G12" s="84">
        <f>G3*$P$12</f>
      </c>
      <c r="H12" s="84">
        <f>H3*$P$12</f>
      </c>
      <c r="I12" s="84">
        <f>I3*$P$12</f>
      </c>
      <c r="J12" s="84">
        <f>J3*$P$12</f>
      </c>
      <c r="K12" s="84">
        <f>K3*$P$12</f>
      </c>
      <c r="L12" s="84">
        <f>L3*$P$12</f>
      </c>
      <c r="M12" s="84">
        <f>M3*$P$12</f>
      </c>
      <c r="N12" s="84">
        <f>N3*$P$12</f>
      </c>
      <c r="O12" s="84">
        <f>SUM(C12:N12)</f>
      </c>
      <c r="P12" s="183">
        <v>0.15</v>
      </c>
      <c r="Q12" s="1" t="str">
        <v>渠道填写</v>
      </c>
      <c r="R12" s="54">
        <f>O12/$O$10</f>
      </c>
    </row>
    <row r="13">
      <c r="B13" s="85" t="str">
        <v>红包消费券等促销折扣</v>
      </c>
      <c r="C13" s="84">
        <f>C3*0.1</f>
      </c>
      <c r="D13" s="84">
        <f>D3*0.1</f>
      </c>
      <c r="E13" s="84">
        <f>E3*0.1</f>
      </c>
      <c r="F13" s="84">
        <f>F3*0.1</f>
      </c>
      <c r="G13" s="84">
        <f>G3*0.1</f>
      </c>
      <c r="H13" s="84">
        <f>H3*0.1</f>
      </c>
      <c r="I13" s="84">
        <f>I3*0.1</f>
      </c>
      <c r="J13" s="84">
        <f>J3*0.1</f>
      </c>
      <c r="K13" s="84">
        <f>K3*0.1</f>
      </c>
      <c r="L13" s="84">
        <f>L3*0.1</f>
      </c>
      <c r="M13" s="84">
        <f>M3*0.1</f>
      </c>
      <c r="N13" s="84">
        <f>N3*0.1</f>
      </c>
      <c r="O13" s="84">
        <f>SUM(C13:N13)</f>
      </c>
      <c r="P13" s="84"/>
      <c r="Q13" s="1" t="str">
        <v>渠道填写</v>
      </c>
      <c r="R13" s="54">
        <f>O13/$O$10</f>
      </c>
    </row>
    <row r="14">
      <c r="B14" s="83" t="str">
        <v>TTL 折扣合计</v>
      </c>
      <c r="C14" s="81">
        <f>SUM(C11:C13)</f>
      </c>
      <c r="D14" s="81">
        <f>SUM(D11:D13)</f>
      </c>
      <c r="E14" s="81">
        <f>SUM(E11:E13)</f>
      </c>
      <c r="F14" s="81">
        <f>SUM(F11:F13)</f>
      </c>
      <c r="G14" s="81">
        <f>SUM(G11:G13)</f>
      </c>
      <c r="H14" s="81">
        <f>SUM(H11:H13)</f>
      </c>
      <c r="I14" s="81">
        <f>SUM(I11:I13)</f>
      </c>
      <c r="J14" s="81">
        <f>SUM(J11:J13)</f>
      </c>
      <c r="K14" s="81">
        <f>SUM(K11:K13)</f>
      </c>
      <c r="L14" s="81">
        <f>SUM(L11:L13)</f>
      </c>
      <c r="M14" s="81">
        <f>SUM(M11:M13)</f>
      </c>
      <c r="N14" s="81">
        <f>SUM(N11:N13)</f>
      </c>
      <c r="O14" s="81">
        <f>SUM(C14:N14)</f>
      </c>
      <c r="P14" s="81"/>
      <c r="Q14" s="1"/>
    </row>
    <row r="15">
      <c r="A15" s="97"/>
      <c r="B15" s="98" t="str">
        <v>GSV</v>
      </c>
      <c r="C15" s="95">
        <f>C8</f>
      </c>
      <c r="D15" s="95">
        <f>D8</f>
      </c>
      <c r="E15" s="95">
        <f>E8</f>
      </c>
      <c r="F15" s="95">
        <f>F8</f>
      </c>
      <c r="G15" s="95">
        <f>G8</f>
      </c>
      <c r="H15" s="95">
        <f>H8</f>
      </c>
      <c r="I15" s="95">
        <f>I8</f>
      </c>
      <c r="J15" s="95">
        <f>J8</f>
      </c>
      <c r="K15" s="95">
        <f>K8</f>
      </c>
      <c r="L15" s="95">
        <f>L8</f>
      </c>
      <c r="M15" s="95">
        <f>M8</f>
      </c>
      <c r="N15" s="95">
        <f>N8</f>
      </c>
      <c r="O15" s="95">
        <f>SUM(C15:N15)</f>
      </c>
      <c r="P15" s="95"/>
      <c r="Q15" s="1"/>
    </row>
    <row r="16">
      <c r="A16" s="97"/>
      <c r="B16" s="98" t="str">
        <v>营业收入</v>
      </c>
      <c r="C16" s="95">
        <f>+C8/1.13</f>
      </c>
      <c r="D16" s="95">
        <f>+D8/1.13</f>
      </c>
      <c r="E16" s="95">
        <f>+E8/1.13</f>
      </c>
      <c r="F16" s="95">
        <f>+F8/1.13</f>
      </c>
      <c r="G16" s="95">
        <f>+G8/1.13</f>
      </c>
      <c r="H16" s="95">
        <f>+H8/1.13</f>
      </c>
      <c r="I16" s="95">
        <f>+I8/1.13</f>
      </c>
      <c r="J16" s="95">
        <f>+J8/1.13</f>
      </c>
      <c r="K16" s="95">
        <f>+K8/1.13</f>
      </c>
      <c r="L16" s="95">
        <f>+L8/1.13</f>
      </c>
      <c r="M16" s="95">
        <f>+M8/1.13</f>
      </c>
      <c r="N16" s="95">
        <f>+N8/1.13</f>
      </c>
      <c r="O16" s="95">
        <f>SUM(C16:N16)</f>
      </c>
      <c r="P16" s="95"/>
      <c r="Q16" s="1"/>
    </row>
    <row r="17">
      <c r="Q17" s="1"/>
    </row>
    <row r="18">
      <c r="B18" s="85" t="str">
        <v>标准主品配件成本</v>
      </c>
      <c r="C18" s="84">
        <f>C16*(1-C23)</f>
      </c>
      <c r="D18" s="84">
        <f>D16*(1-D23)</f>
      </c>
      <c r="E18" s="84">
        <f>E16*(1-E23)</f>
      </c>
      <c r="F18" s="84">
        <f>F16*(1-F23)</f>
      </c>
      <c r="G18" s="84">
        <f>G16*(1-G23)</f>
      </c>
      <c r="H18" s="84">
        <f>H16*(1-H23)</f>
      </c>
      <c r="I18" s="84">
        <f>I16*(1-I23)</f>
      </c>
      <c r="J18" s="84">
        <f>J16*(1-J23)</f>
      </c>
      <c r="K18" s="84">
        <f>K16*(1-K23)</f>
      </c>
      <c r="L18" s="84">
        <f>L16*(1-L23)</f>
      </c>
      <c r="M18" s="84">
        <f>M16*(1-M23)</f>
      </c>
      <c r="N18" s="84">
        <f>N16*(1-N23)</f>
      </c>
      <c r="O18" s="84">
        <f>SUM(C18:N18)</f>
      </c>
      <c r="P18" s="86">
        <f>O18/O16</f>
      </c>
      <c r="Q18" s="1"/>
    </row>
    <row r="19">
      <c r="B19" s="83" t="str">
        <v>产品毛利</v>
      </c>
      <c r="C19" s="81">
        <f>C16-C18</f>
      </c>
      <c r="D19" s="81">
        <f>D16-D18</f>
      </c>
      <c r="E19" s="81">
        <f>E16-E18</f>
      </c>
      <c r="F19" s="81">
        <f>F16-F18</f>
      </c>
      <c r="G19" s="81">
        <f>G16-G18</f>
      </c>
      <c r="H19" s="81">
        <f>H16-H18</f>
      </c>
      <c r="I19" s="81">
        <f>I16-I18</f>
      </c>
      <c r="J19" s="81">
        <f>J16-J18</f>
      </c>
      <c r="K19" s="81">
        <f>K16-K18</f>
      </c>
      <c r="L19" s="81">
        <f>L16-L18</f>
      </c>
      <c r="M19" s="81">
        <f>M16-M18</f>
      </c>
      <c r="N19" s="81">
        <f>N16-N18</f>
      </c>
      <c r="O19" s="81">
        <f>SUM(C19:N19)</f>
      </c>
      <c r="P19" s="82">
        <f>O19/$O$16</f>
      </c>
      <c r="Q19" s="1"/>
    </row>
    <row r="20">
      <c r="A20" s="88"/>
      <c r="B20" s="90" t="str">
        <v>头程/尾程物流/仓储费用</v>
      </c>
      <c r="C20" s="110">
        <f>C16*2.5%</f>
      </c>
      <c r="D20" s="110">
        <f>D16*2.5%</f>
      </c>
      <c r="E20" s="110">
        <f>E16*2.5%</f>
      </c>
      <c r="F20" s="110">
        <f>F16*2.5%</f>
      </c>
      <c r="G20" s="110">
        <f>G16*2.5%</f>
      </c>
      <c r="H20" s="110">
        <f>H16*2.5%</f>
      </c>
      <c r="I20" s="110">
        <f>I16*2.5%</f>
      </c>
      <c r="J20" s="110">
        <f>J16*2.5%</f>
      </c>
      <c r="K20" s="110">
        <f>K16*2.5%</f>
      </c>
      <c r="L20" s="110">
        <f>L16*2.5%</f>
      </c>
      <c r="M20" s="110">
        <f>M16*2.5%</f>
      </c>
      <c r="N20" s="110">
        <f>N16*2.5%</f>
      </c>
      <c r="O20" s="110">
        <f>SUM(C20:N20)</f>
      </c>
      <c r="P20" s="111">
        <v>0.025</v>
      </c>
      <c r="Q20" s="1"/>
    </row>
    <row r="21">
      <c r="B21" s="83" t="str">
        <v>成本合计（产品+物流）</v>
      </c>
      <c r="C21" s="81">
        <f>SUM(C18,C20)</f>
      </c>
      <c r="D21" s="81">
        <f>SUM(D18,D20)</f>
      </c>
      <c r="E21" s="81">
        <f>SUM(E18,E20)</f>
      </c>
      <c r="F21" s="81">
        <f>SUM(F18,F20)</f>
      </c>
      <c r="G21" s="81">
        <f>SUM(G18,G20)</f>
      </c>
      <c r="H21" s="81">
        <f>SUM(H18,H20)</f>
      </c>
      <c r="I21" s="81">
        <f>SUM(I18,I20)</f>
      </c>
      <c r="J21" s="81">
        <f>SUM(J18,J20)</f>
      </c>
      <c r="K21" s="81">
        <f>SUM(K18,K20)</f>
      </c>
      <c r="L21" s="81">
        <f>SUM(L18,L20)</f>
      </c>
      <c r="M21" s="81">
        <f>SUM(M18,M20)</f>
      </c>
      <c r="N21" s="81">
        <f>SUM(N18,N20)</f>
      </c>
      <c r="O21" s="81">
        <f>SUM(C21:N21)</f>
      </c>
      <c r="P21" s="82">
        <f>O21/$O$16</f>
      </c>
      <c r="Q21" s="1"/>
    </row>
    <row r="22">
      <c r="A22" s="97"/>
      <c r="B22" s="98" t="str">
        <v>净毛利</v>
      </c>
      <c r="C22" s="95">
        <f>C16-C21</f>
      </c>
      <c r="D22" s="95">
        <f>D16-D21</f>
      </c>
      <c r="E22" s="95">
        <f>E16-E21</f>
      </c>
      <c r="F22" s="95">
        <f>F16-F21</f>
      </c>
      <c r="G22" s="95">
        <f>G16-G21</f>
      </c>
      <c r="H22" s="95">
        <f>H16-H21</f>
      </c>
      <c r="I22" s="95">
        <f>I16-I21</f>
      </c>
      <c r="J22" s="95">
        <f>J16-J21</f>
      </c>
      <c r="K22" s="95">
        <f>K16-K21</f>
      </c>
      <c r="L22" s="95">
        <f>L16-L21</f>
      </c>
      <c r="M22" s="95">
        <f>M16-M21</f>
      </c>
      <c r="N22" s="95">
        <f>N16-N21</f>
      </c>
      <c r="O22" s="95">
        <f>SUM(C22:N22)</f>
      </c>
      <c r="P22" s="96">
        <f>O22/$O$16</f>
      </c>
      <c r="Q22" s="1"/>
    </row>
    <row r="23">
      <c r="B23" s="102" t="str">
        <v>实际产品毛利率</v>
      </c>
      <c r="C23" s="101">
        <v>0.51</v>
      </c>
      <c r="D23" s="101">
        <v>0.52</v>
      </c>
      <c r="E23" s="101">
        <v>0.53</v>
      </c>
      <c r="F23" s="101">
        <v>0.54</v>
      </c>
      <c r="G23" s="101">
        <v>0.55</v>
      </c>
      <c r="H23" s="101">
        <v>0.56</v>
      </c>
      <c r="I23" s="101">
        <v>0.57</v>
      </c>
      <c r="J23" s="101">
        <v>0.59</v>
      </c>
      <c r="K23" s="101">
        <v>0.6</v>
      </c>
      <c r="L23" s="101">
        <v>0.61</v>
      </c>
      <c r="M23" s="101">
        <v>0.62</v>
      </c>
      <c r="N23" s="101">
        <v>0.63</v>
      </c>
      <c r="O23" s="101">
        <f>O19/$O$16</f>
      </c>
      <c r="P23" s="91"/>
      <c r="Q23" s="1"/>
    </row>
    <row r="24">
      <c r="B24" s="102" t="str">
        <v>合计毛利率</v>
      </c>
      <c r="C24" s="101">
        <f>IFERROR(1-C21/C16,0)</f>
      </c>
      <c r="D24" s="101">
        <f>IFERROR(1-D21/D16,0)</f>
      </c>
      <c r="E24" s="101">
        <f>IFERROR(1-E21/E16,0)</f>
      </c>
      <c r="F24" s="101">
        <f>IFERROR(1-F21/F16,0)</f>
      </c>
      <c r="G24" s="101">
        <f>IFERROR(1-G21/G16,0)</f>
      </c>
      <c r="H24" s="101">
        <f>IFERROR(1-H21/H16,0)</f>
      </c>
      <c r="I24" s="101">
        <f>IFERROR(1-I21/I16,0)</f>
      </c>
      <c r="J24" s="101">
        <f>IFERROR(1-J21/J16,0)</f>
      </c>
      <c r="K24" s="101">
        <f>IFERROR(1-K21/K16,0)</f>
      </c>
      <c r="L24" s="101">
        <f>IFERROR(1-L21/L16,0)</f>
      </c>
      <c r="M24" s="101">
        <f>IFERROR(1-M21/M16,0)</f>
      </c>
      <c r="N24" s="101">
        <f>IFERROR(1-N21/N16,0)</f>
      </c>
      <c r="O24" s="101">
        <f>IFERROR(1-O21/O16,0)</f>
      </c>
      <c r="P24" s="91"/>
      <c r="Q24" s="1"/>
    </row>
    <row r="25"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91"/>
      <c r="Q25" s="1"/>
    </row>
    <row r="26">
      <c r="B26" s="85" t="str">
        <v>品牌及内容费用</v>
      </c>
      <c r="C26" s="84">
        <f>SUM(C27:C31)</f>
      </c>
      <c r="D26" s="84">
        <f>SUM(D27:D31)</f>
      </c>
      <c r="E26" s="84">
        <f>SUM(E27:E31)</f>
      </c>
      <c r="F26" s="84">
        <f>SUM(F27:F31)</f>
      </c>
      <c r="G26" s="84">
        <f>SUM(G27:G31)</f>
      </c>
      <c r="H26" s="84">
        <f>SUM(H27:H31)</f>
      </c>
      <c r="I26" s="84">
        <f>SUM(I27:I31)</f>
      </c>
      <c r="J26" s="84">
        <f>SUM(J27:J31)</f>
      </c>
      <c r="K26" s="84">
        <f>SUM(K27:K31)</f>
      </c>
      <c r="L26" s="84">
        <f>SUM(L27:L31)</f>
      </c>
      <c r="M26" s="84">
        <f>SUM(M27:M31)</f>
      </c>
      <c r="N26" s="84">
        <f>SUM(N27:N31)</f>
      </c>
      <c r="O26" s="84">
        <f>SUM(C26:N26)</f>
      </c>
      <c r="P26" s="86">
        <f>O26/$O$16</f>
      </c>
      <c r="Q26" s="1"/>
    </row>
    <row r="27">
      <c r="A27" s="88"/>
      <c r="B27" s="90" t="str">
        <v>展会</v>
      </c>
      <c r="C27" s="89">
        <v>0</v>
      </c>
      <c r="D27" s="89">
        <v>0</v>
      </c>
      <c r="E27" s="89">
        <v>15125.799961335762</v>
      </c>
      <c r="F27" s="89">
        <v>12638.248406778552</v>
      </c>
      <c r="G27" s="89">
        <v>26928.303764971275</v>
      </c>
      <c r="H27" s="89">
        <v>23706.993142170482</v>
      </c>
      <c r="I27" s="89">
        <v>15285.8974842558</v>
      </c>
      <c r="J27" s="89">
        <v>21080.42812591017</v>
      </c>
      <c r="K27" s="89">
        <v>16815.151721760572</v>
      </c>
      <c r="L27" s="89">
        <v>28336.01791681614</v>
      </c>
      <c r="M27" s="89">
        <v>21466.816572608746</v>
      </c>
      <c r="N27" s="89">
        <v>0</v>
      </c>
      <c r="O27" s="88">
        <f>SUM(C27:N27)</f>
      </c>
      <c r="P27" s="91">
        <f>O27/$O$16</f>
      </c>
      <c r="Q27" s="90"/>
    </row>
    <row r="28">
      <c r="A28" s="88"/>
      <c r="B28" s="90" t="str">
        <v>品牌营销</v>
      </c>
      <c r="C28" s="89">
        <v>0</v>
      </c>
      <c r="D28" s="89">
        <v>0</v>
      </c>
      <c r="E28" s="89">
        <v>0</v>
      </c>
      <c r="F28" s="89">
        <v>15165.898088134261</v>
      </c>
      <c r="G28" s="89">
        <v>161569.8225898276</v>
      </c>
      <c r="H28" s="89">
        <v>75862.37805494554</v>
      </c>
      <c r="I28" s="89">
        <v>0</v>
      </c>
      <c r="J28" s="89">
        <v>25296.513751092203</v>
      </c>
      <c r="K28" s="89">
        <v>53808.48550963383</v>
      </c>
      <c r="L28" s="89">
        <v>34003.22150017937</v>
      </c>
      <c r="M28" s="89">
        <v>25760.179887130493</v>
      </c>
      <c r="N28" s="89">
        <v>0</v>
      </c>
      <c r="O28" s="88">
        <f>SUM(C28:N28)</f>
      </c>
      <c r="P28" s="91">
        <f>O28/$O$16</f>
      </c>
      <c r="Q28" s="90"/>
    </row>
    <row r="29">
      <c r="A29" s="88"/>
      <c r="B29" s="90" t="str">
        <v>内容素材制作</v>
      </c>
      <c r="C29" s="89">
        <v>7421.622764211301</v>
      </c>
      <c r="D29" s="89">
        <v>6042.003057249023</v>
      </c>
      <c r="E29" s="89">
        <v>6050.319984534305</v>
      </c>
      <c r="F29" s="89">
        <v>25276.496813557103</v>
      </c>
      <c r="G29" s="89">
        <v>161569.8225898276</v>
      </c>
      <c r="H29" s="89">
        <v>104310.76982555012</v>
      </c>
      <c r="I29" s="89">
        <v>0</v>
      </c>
      <c r="J29" s="89">
        <v>25296.513751092203</v>
      </c>
      <c r="K29" s="89">
        <v>53808.48550963383</v>
      </c>
      <c r="L29" s="89">
        <v>56672.03583363228</v>
      </c>
      <c r="M29" s="89">
        <v>42933.63314521749</v>
      </c>
      <c r="N29" s="89">
        <v>7510.351287221506</v>
      </c>
      <c r="O29" s="88">
        <f>SUM(C29:N29)</f>
      </c>
      <c r="P29" s="91">
        <f>O29/$O$16</f>
      </c>
      <c r="Q29" s="1"/>
    </row>
    <row r="30">
      <c r="A30" s="88"/>
      <c r="B30" s="90" t="str">
        <v>公关费用</v>
      </c>
      <c r="C30" s="89">
        <v>7421.622764211301</v>
      </c>
      <c r="D30" s="89">
        <v>6042.003057249023</v>
      </c>
      <c r="E30" s="89">
        <v>48402.55987627444</v>
      </c>
      <c r="F30" s="89">
        <v>5055.299362711421</v>
      </c>
      <c r="G30" s="89">
        <v>32313.964517965527</v>
      </c>
      <c r="H30" s="89">
        <v>9482.797256868193</v>
      </c>
      <c r="I30" s="89">
        <v>6114.358993702321</v>
      </c>
      <c r="J30" s="89">
        <v>8432.171250364068</v>
      </c>
      <c r="K30" s="89">
        <v>6726.060688704229</v>
      </c>
      <c r="L30" s="89">
        <v>22668.814333452916</v>
      </c>
      <c r="M30" s="89">
        <v>17173.453258086996</v>
      </c>
      <c r="N30" s="89">
        <v>7510.351287221506</v>
      </c>
      <c r="O30" s="88">
        <f>SUM(C30:N30)</f>
      </c>
      <c r="P30" s="91">
        <f>O30/$O$16</f>
      </c>
      <c r="Q30" s="1"/>
    </row>
    <row collapsed="true" r="31">
      <c r="A31" s="88"/>
      <c r="B31" s="90" t="str">
        <v>达人种草、样机及加热</v>
      </c>
      <c r="C31" s="89">
        <v>74216.22764211302</v>
      </c>
      <c r="D31" s="89">
        <v>302100.15286245116</v>
      </c>
      <c r="E31" s="89">
        <v>484025.5987627444</v>
      </c>
      <c r="F31" s="89">
        <v>252764.96813557105</v>
      </c>
      <c r="G31" s="89">
        <v>969418.9355389659</v>
      </c>
      <c r="H31" s="89">
        <v>568967.8354120915</v>
      </c>
      <c r="I31" s="89">
        <v>122287.1798740464</v>
      </c>
      <c r="J31" s="89">
        <v>168643.42500728136</v>
      </c>
      <c r="K31" s="89">
        <v>67260.60688704229</v>
      </c>
      <c r="L31" s="89">
        <v>566720.3583363228</v>
      </c>
      <c r="M31" s="89">
        <v>171734.53258086997</v>
      </c>
      <c r="N31" s="89">
        <v>150207.02574443014</v>
      </c>
      <c r="O31" s="88">
        <f>SUM(C31:N31)</f>
      </c>
      <c r="P31" s="91">
        <f>O31/$O$16</f>
      </c>
      <c r="Q31" s="1"/>
    </row>
    <row hidden="true" outlineLevel="1" r="32">
      <c r="A32" s="88"/>
      <c r="B32" s="90" t="str">
        <v>展会(费率)</v>
      </c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91"/>
      <c r="Q32" s="1"/>
    </row>
    <row hidden="true" outlineLevel="1" r="33">
      <c r="A33" s="88"/>
      <c r="B33" s="90" t="str">
        <v>品牌营销（费率）</v>
      </c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91"/>
      <c r="Q33" s="1"/>
    </row>
    <row hidden="true" outlineLevel="1" r="34">
      <c r="A34" s="88"/>
      <c r="B34" s="90" t="str">
        <v>内容素材制作（费率）</v>
      </c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91"/>
      <c r="Q34" s="1"/>
    </row>
    <row hidden="true" outlineLevel="1" r="35">
      <c r="A35" s="88"/>
      <c r="B35" s="90" t="str">
        <v>公关费用（费率）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91"/>
      <c r="Q35" s="1"/>
    </row>
    <row hidden="true" outlineLevel="1" r="36">
      <c r="A36" s="88"/>
      <c r="B36" s="90" t="str">
        <v>达人种草、样机及加热（费率）</v>
      </c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88"/>
      <c r="P36" s="91"/>
      <c r="Q36" s="1"/>
    </row>
    <row r="37">
      <c r="B37" s="85" t="str">
        <v>效果广告</v>
      </c>
      <c r="C37" s="84">
        <f>SUM(C38:C40)</f>
      </c>
      <c r="D37" s="84">
        <f>SUM(D38:D40)</f>
      </c>
      <c r="E37" s="84">
        <f>SUM(E38:E40)</f>
      </c>
      <c r="F37" s="84">
        <f>SUM(F38:F40)</f>
      </c>
      <c r="G37" s="84">
        <f>SUM(G38:G40)</f>
      </c>
      <c r="H37" s="84">
        <f>SUM(H38:H40)</f>
      </c>
      <c r="I37" s="84">
        <f>SUM(I38:I40)</f>
      </c>
      <c r="J37" s="84">
        <f>SUM(J38:J40)</f>
      </c>
      <c r="K37" s="84">
        <f>SUM(K38:K40)</f>
      </c>
      <c r="L37" s="84">
        <f>SUM(L38:L40)</f>
      </c>
      <c r="M37" s="84">
        <f>SUM(M38:M40)</f>
      </c>
      <c r="N37" s="84">
        <f>SUM(N38:N40)</f>
      </c>
      <c r="O37" s="84">
        <f>SUM(C37:N37)</f>
      </c>
      <c r="P37" s="86">
        <f>O37/$O$16</f>
      </c>
      <c r="Q37" s="1"/>
    </row>
    <row r="38">
      <c r="A38" s="88"/>
      <c r="B38" s="90" t="str">
        <v>站内投放</v>
      </c>
      <c r="C38" s="99">
        <v>1644042.2117234718</v>
      </c>
      <c r="D38" s="99">
        <v>1370035.169897376</v>
      </c>
      <c r="E38" s="99">
        <v>1278699.4976572378</v>
      </c>
      <c r="F38" s="99">
        <v>1187363.7952261502</v>
      </c>
      <c r="G38" s="99">
        <v>1972850.6486155172</v>
      </c>
      <c r="H38" s="99">
        <v>2027652.0689112283</v>
      </c>
      <c r="I38" s="99">
        <v>1132562.465683426</v>
      </c>
      <c r="J38" s="99">
        <v>1370035.1708582307</v>
      </c>
      <c r="K38" s="99">
        <v>1096028.1380804977</v>
      </c>
      <c r="L38" s="99">
        <v>1972850.622311289</v>
      </c>
      <c r="M38" s="99">
        <v>2027652.0453480994</v>
      </c>
      <c r="N38" s="99">
        <v>1187363.8269677237</v>
      </c>
      <c r="O38" s="88">
        <f>SUM(C38:N38)</f>
      </c>
      <c r="P38" s="91">
        <f>O38/$O$16</f>
      </c>
      <c r="Q38" s="1" t="str">
        <v>投放填写</v>
      </c>
    </row>
    <row r="39">
      <c r="A39" s="88"/>
      <c r="B39" s="90" t="str">
        <v>千川投放</v>
      </c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88">
        <f>SUM(C39:N39)</f>
      </c>
      <c r="P39" s="91">
        <f>O39/$O$16</f>
      </c>
      <c r="Q39" s="1" t="str">
        <v>投放填写</v>
      </c>
    </row>
    <row collapsed="true" r="40">
      <c r="A40" s="88"/>
      <c r="B40" s="90" t="str">
        <v>站外投放</v>
      </c>
      <c r="C40" s="99">
        <v>411010.55293086794</v>
      </c>
      <c r="D40" s="99">
        <v>342508.792474344</v>
      </c>
      <c r="E40" s="99">
        <v>319674.87441430945</v>
      </c>
      <c r="F40" s="99">
        <v>296840.94880653755</v>
      </c>
      <c r="G40" s="99">
        <v>493212.6621538793</v>
      </c>
      <c r="H40" s="99">
        <v>506913.0172278071</v>
      </c>
      <c r="I40" s="99">
        <v>283140.6164208565</v>
      </c>
      <c r="J40" s="99">
        <v>342508.79271455767</v>
      </c>
      <c r="K40" s="99">
        <v>274007.03452012443</v>
      </c>
      <c r="L40" s="99">
        <v>493212.65557782224</v>
      </c>
      <c r="M40" s="99">
        <v>506913.01133702486</v>
      </c>
      <c r="N40" s="99">
        <v>296840.9567419309</v>
      </c>
      <c r="O40" s="88">
        <f>SUM(C40:N40)</f>
      </c>
      <c r="P40" s="91">
        <f>O40/$O$16</f>
      </c>
      <c r="Q40" s="1" t="str">
        <v>投放填写</v>
      </c>
    </row>
    <row hidden="true" outlineLevel="1" r="41">
      <c r="A41" s="88"/>
      <c r="B41" s="90" t="str">
        <v>站内投放（费率）</v>
      </c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91">
        <f>O38/$O$16</f>
      </c>
      <c r="Q41" s="1" t="str">
        <v>投放填写</v>
      </c>
    </row>
    <row hidden="true" outlineLevel="1" r="42">
      <c r="A42" s="88"/>
      <c r="B42" s="90" t="str">
        <v>千川投放（费率）</v>
      </c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91">
        <f>O39/$O$16</f>
      </c>
      <c r="Q42" s="1" t="str">
        <v>投放填写</v>
      </c>
    </row>
    <row hidden="true" outlineLevel="1" r="43">
      <c r="A43" s="88"/>
      <c r="B43" s="90" t="str">
        <v>站外投放（费率）</v>
      </c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91">
        <f>O40/$O$16</f>
      </c>
      <c r="Q43" s="1" t="str">
        <v>投放填写</v>
      </c>
    </row>
    <row r="44">
      <c r="B44" s="85" t="str">
        <v>线上营销费用</v>
      </c>
      <c r="C44" s="84">
        <f>SUM(C45:C46)</f>
      </c>
      <c r="D44" s="84">
        <f>SUM(D45:D46)</f>
      </c>
      <c r="E44" s="84">
        <f>SUM(E45:E46)</f>
      </c>
      <c r="F44" s="84">
        <f>SUM(F45:F46)</f>
      </c>
      <c r="G44" s="84">
        <f>SUM(G45:G46)</f>
      </c>
      <c r="H44" s="84">
        <f>SUM(H45:H46)</f>
      </c>
      <c r="I44" s="84">
        <f>SUM(I45:I46)</f>
      </c>
      <c r="J44" s="84">
        <f>SUM(J45:J46)</f>
      </c>
      <c r="K44" s="84">
        <f>SUM(K45:K46)</f>
      </c>
      <c r="L44" s="84">
        <f>SUM(L45:L46)</f>
      </c>
      <c r="M44" s="84">
        <f>SUM(M45:M46)</f>
      </c>
      <c r="N44" s="84">
        <f>SUM(N45:N46)</f>
      </c>
      <c r="O44" s="84">
        <f>SUM(C44:N44)</f>
      </c>
      <c r="P44" s="86">
        <f>O44/$O$16</f>
      </c>
      <c r="Q44" s="1"/>
    </row>
    <row r="45">
      <c r="A45" s="88"/>
      <c r="B45" s="90" t="str">
        <v>直播费用</v>
      </c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8"/>
      <c r="P45" s="91">
        <v>0.01</v>
      </c>
      <c r="Q45" s="1" t="str">
        <v>达人填写</v>
      </c>
    </row>
    <row r="46">
      <c r="A46" s="88"/>
      <c r="B46" s="90" t="str">
        <v>赠品费用</v>
      </c>
      <c r="C46" s="89">
        <f>C16*$P$46</f>
      </c>
      <c r="D46" s="89">
        <f>D16*$P$46</f>
      </c>
      <c r="E46" s="89">
        <f>E16*$P$46</f>
      </c>
      <c r="F46" s="89">
        <f>F16*$P$46</f>
      </c>
      <c r="G46" s="89">
        <f>G16*$P$46</f>
      </c>
      <c r="H46" s="89">
        <f>H16*$P$46</f>
      </c>
      <c r="I46" s="89">
        <f>I16*$P$46</f>
      </c>
      <c r="J46" s="89">
        <f>J16*$P$46</f>
      </c>
      <c r="K46" s="89">
        <f>K16*$P$46</f>
      </c>
      <c r="L46" s="89">
        <f>L16*$P$46</f>
      </c>
      <c r="M46" s="89">
        <f>M16*$P$46</f>
      </c>
      <c r="N46" s="89">
        <f>N16*$P$46</f>
      </c>
      <c r="O46" s="88">
        <f>SUM(C46:N46)</f>
      </c>
      <c r="P46" s="91">
        <v>0.02</v>
      </c>
      <c r="Q46" s="90" t="str">
        <v>渠道填写</v>
      </c>
    </row>
    <row r="47">
      <c r="B47" s="85" t="str">
        <v>线下市场费用</v>
      </c>
      <c r="C47" s="84">
        <f>SUM(C48:C51)</f>
      </c>
      <c r="D47" s="84">
        <f>SUM(D48:D51)</f>
      </c>
      <c r="E47" s="84">
        <f>SUM(E48:E51)</f>
      </c>
      <c r="F47" s="84">
        <f>SUM(F48:F51)</f>
      </c>
      <c r="G47" s="84">
        <f>SUM(G48:G51)</f>
      </c>
      <c r="H47" s="84">
        <f>SUM(H48:H51)</f>
      </c>
      <c r="I47" s="84">
        <f>SUM(I48:I51)</f>
      </c>
      <c r="J47" s="84">
        <f>SUM(J48:J51)</f>
      </c>
      <c r="K47" s="84">
        <f>SUM(K48:K51)</f>
      </c>
      <c r="L47" s="84">
        <f>SUM(L48:L51)</f>
      </c>
      <c r="M47" s="84">
        <f>SUM(M48:M51)</f>
      </c>
      <c r="N47" s="84">
        <f>SUM(N48:N51)</f>
      </c>
      <c r="O47" s="84">
        <f>SUM(C47:N47)</f>
      </c>
      <c r="P47" s="86">
        <f>O47/$O$16</f>
      </c>
      <c r="Q47" s="1"/>
    </row>
    <row r="48">
      <c r="A48" s="88"/>
      <c r="B48" s="90" t="str">
        <v>线下渠道展陈、促销费用</v>
      </c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8">
        <f>SUM(C48:N48)</f>
      </c>
      <c r="P48" s="91">
        <f>O48/$O$16</f>
      </c>
      <c r="Q48" s="90" t="str">
        <v>线下门店</v>
      </c>
    </row>
    <row r="49">
      <c r="A49" s="88"/>
      <c r="B49" s="90" t="str">
        <v>租金+物业+水电</v>
      </c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8">
        <f>SUM(C49:N49)</f>
      </c>
      <c r="P49" s="91">
        <f>O49/$O$16</f>
      </c>
      <c r="Q49" s="90" t="str">
        <v>线下门店</v>
      </c>
    </row>
    <row r="50">
      <c r="A50" s="88"/>
      <c r="B50" s="90" t="str">
        <v>门店人工</v>
      </c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8">
        <f>SUM(C50:N50)</f>
      </c>
      <c r="P50" s="91">
        <f>O50/$O$16</f>
      </c>
      <c r="Q50" s="90" t="str">
        <v>线下门店</v>
      </c>
    </row>
    <row r="51">
      <c r="B51" s="90" t="str">
        <v>门店展陈装修等其他</v>
      </c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8">
        <f>SUM(C51:N51)</f>
      </c>
      <c r="P51" s="91">
        <f>O51/$O$16</f>
      </c>
      <c r="Q51" s="90" t="str">
        <v>线下门店</v>
      </c>
    </row>
    <row r="52">
      <c r="B52" s="83" t="str">
        <v>市场投入费用</v>
      </c>
      <c r="C52" s="81">
        <f>SUM(C26,C37,C44,C47)</f>
      </c>
      <c r="D52" s="81">
        <f>SUM(D26,D37,D44,D47)</f>
      </c>
      <c r="E52" s="81">
        <f>SUM(E26,E37,E44,E47)</f>
      </c>
      <c r="F52" s="81">
        <f>SUM(F26,F37,F44,F47)</f>
      </c>
      <c r="G52" s="81">
        <f>SUM(G26,G37,G44,G47)</f>
      </c>
      <c r="H52" s="81">
        <f>SUM(H26,H37,H44,H47)</f>
      </c>
      <c r="I52" s="81">
        <f>SUM(I26,I37,I44,I47)</f>
      </c>
      <c r="J52" s="81">
        <f>SUM(J26,J37,J44,J47)</f>
      </c>
      <c r="K52" s="81">
        <f>SUM(K26,K37,K44,K47)</f>
      </c>
      <c r="L52" s="81">
        <f>SUM(L26,L37,L44,L47)</f>
      </c>
      <c r="M52" s="81">
        <f>SUM(M26,M37,M44,M47)</f>
      </c>
      <c r="N52" s="81">
        <f>SUM(N26,N37,N44,N47)</f>
      </c>
      <c r="O52" s="81">
        <f>SUM(C52:N52)</f>
      </c>
      <c r="P52" s="82">
        <f>O52/$O$16</f>
      </c>
      <c r="Q52" s="1"/>
    </row>
    <row r="53">
      <c r="A53" s="88"/>
      <c r="B53" s="90" t="str">
        <v>平台佣金</v>
      </c>
      <c r="C53" s="89">
        <v>900178.0293000002</v>
      </c>
      <c r="D53" s="89">
        <v>1007985.6105</v>
      </c>
      <c r="E53" s="89">
        <v>794600.2581</v>
      </c>
      <c r="F53" s="89">
        <v>708201.5325</v>
      </c>
      <c r="G53" s="89">
        <v>1288209.6204999997</v>
      </c>
      <c r="H53" s="89">
        <v>1181714.2425</v>
      </c>
      <c r="I53" s="89">
        <v>922005.9552000001</v>
      </c>
      <c r="J53" s="89">
        <v>1189939.3506</v>
      </c>
      <c r="K53" s="89">
        <v>910185.3783000001</v>
      </c>
      <c r="L53" s="89">
        <v>1340979.9810000001</v>
      </c>
      <c r="M53" s="89">
        <v>1484669.0155</v>
      </c>
      <c r="N53" s="89">
        <v>1267456.1591999999</v>
      </c>
      <c r="O53" s="88">
        <f>SUM(C53:N53)</f>
      </c>
      <c r="P53" s="91">
        <v>0.053</v>
      </c>
      <c r="Q53" s="1"/>
    </row>
    <row r="54">
      <c r="A54" s="88"/>
      <c r="B54" s="90" t="str">
        <v>平台其他费用</v>
      </c>
      <c r="C54" s="89">
        <f>C16*$P$54</f>
      </c>
      <c r="D54" s="89">
        <f>D16*$P$54</f>
      </c>
      <c r="E54" s="89">
        <f>E16*$P$54</f>
      </c>
      <c r="F54" s="89">
        <f>F16*$P$54</f>
      </c>
      <c r="G54" s="89">
        <f>G16*$P$54</f>
      </c>
      <c r="H54" s="89">
        <f>H16*$P$54</f>
      </c>
      <c r="I54" s="89">
        <f>I16*$P$54</f>
      </c>
      <c r="J54" s="89">
        <f>J16*$P$54</f>
      </c>
      <c r="K54" s="89">
        <f>K16*$P$54</f>
      </c>
      <c r="L54" s="89">
        <f>L16*$P$54</f>
      </c>
      <c r="M54" s="89">
        <f>M16*$P$54</f>
      </c>
      <c r="N54" s="89">
        <f>N16*$P$54</f>
      </c>
      <c r="O54" s="88">
        <f>SUM(C54:N54)</f>
      </c>
      <c r="P54" s="91">
        <v>0.014</v>
      </c>
      <c r="Q54" s="1"/>
    </row>
    <row r="55">
      <c r="A55" s="88"/>
      <c r="B55" s="90" t="str">
        <v>售后费用</v>
      </c>
      <c r="C55" s="89">
        <v>493123.6880048466</v>
      </c>
      <c r="D55" s="89">
        <v>322459.14227506734</v>
      </c>
      <c r="E55" s="89">
        <v>251515.61989768659</v>
      </c>
      <c r="F55" s="89">
        <v>387068.2632238368</v>
      </c>
      <c r="G55" s="89">
        <v>332413.13498532615</v>
      </c>
      <c r="H55" s="89">
        <v>232878.3420547686</v>
      </c>
      <c r="I55" s="89">
        <v>324464.0364530579</v>
      </c>
      <c r="J55" s="89">
        <v>251022.50601128288</v>
      </c>
      <c r="K55" s="89">
        <v>345893.1370234001</v>
      </c>
      <c r="L55" s="89">
        <v>273022.6665343131</v>
      </c>
      <c r="M55" s="89">
        <v>239135.9642743752</v>
      </c>
      <c r="N55" s="89">
        <v>233319.41410649742</v>
      </c>
      <c r="O55" s="88">
        <f>SUM(C55:N55)</f>
      </c>
      <c r="P55" s="91">
        <v>0.03</v>
      </c>
      <c r="Q55" s="1"/>
    </row>
    <row r="56">
      <c r="A56" s="88"/>
      <c r="B56" s="90" t="str">
        <v>短信及店铺软件</v>
      </c>
      <c r="C56" s="89">
        <f>C16*$P$56</f>
      </c>
      <c r="D56" s="89">
        <f>D16*$P$56</f>
      </c>
      <c r="E56" s="89">
        <f>E16*$P$56</f>
      </c>
      <c r="F56" s="89">
        <f>F16*$P$56</f>
      </c>
      <c r="G56" s="89">
        <f>G16*$P$56</f>
      </c>
      <c r="H56" s="89">
        <f>H16*$P$56</f>
      </c>
      <c r="I56" s="89">
        <f>I16*$P$56</f>
      </c>
      <c r="J56" s="89">
        <f>J16*$P$56</f>
      </c>
      <c r="K56" s="89">
        <f>K16*$P$56</f>
      </c>
      <c r="L56" s="89">
        <f>L16*$P$56</f>
      </c>
      <c r="M56" s="89">
        <f>M16*$P$56</f>
      </c>
      <c r="N56" s="89">
        <f>N16*$P$56</f>
      </c>
      <c r="O56" s="88">
        <f>SUM(C56:N56)</f>
      </c>
      <c r="P56" s="91">
        <v>0.001</v>
      </c>
      <c r="Q56" s="1"/>
    </row>
    <row r="57">
      <c r="A57" s="88"/>
      <c r="B57" s="90" t="str">
        <v>其他运营费用（咨询调研等）</v>
      </c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8">
        <f>SUM(C57:N57)</f>
      </c>
      <c r="P57" s="91">
        <f>O57/$O$16</f>
      </c>
      <c r="Q57" s="90"/>
    </row>
    <row r="58">
      <c r="B58" s="83" t="str">
        <v>店铺运营费用</v>
      </c>
      <c r="C58" s="81">
        <f>SUM(C53:C57)</f>
      </c>
      <c r="D58" s="81">
        <f>SUM(D53:D57)</f>
      </c>
      <c r="E58" s="81">
        <f>SUM(E53:E57)</f>
      </c>
      <c r="F58" s="81">
        <f>SUM(F53:F57)</f>
      </c>
      <c r="G58" s="81">
        <f>SUM(G53:G57)</f>
      </c>
      <c r="H58" s="81">
        <f>SUM(H53:H57)</f>
      </c>
      <c r="I58" s="81">
        <f>SUM(I53:I57)</f>
      </c>
      <c r="J58" s="81">
        <f>SUM(J53:J57)</f>
      </c>
      <c r="K58" s="81">
        <f>SUM(K53:K57)</f>
      </c>
      <c r="L58" s="81">
        <f>SUM(L53:L57)</f>
      </c>
      <c r="M58" s="81">
        <f>SUM(M53:M57)</f>
      </c>
      <c r="N58" s="81">
        <f>SUM(N53:N57)</f>
      </c>
      <c r="O58" s="81">
        <f>SUM(C58:N58)</f>
      </c>
      <c r="P58" s="82">
        <f>O58/$O$16</f>
      </c>
      <c r="Q58" s="1"/>
    </row>
    <row r="59">
      <c r="A59" s="97"/>
      <c r="B59" s="98" t="str">
        <v>A&amp;P 合计数</v>
      </c>
      <c r="C59" s="95">
        <f>SUM(C52,C58)</f>
      </c>
      <c r="D59" s="95">
        <f>SUM(D52,D58)</f>
      </c>
      <c r="E59" s="95">
        <f>SUM(E52,E58)</f>
      </c>
      <c r="F59" s="95">
        <f>SUM(F52,F58)</f>
      </c>
      <c r="G59" s="95">
        <f>SUM(G52,G58)</f>
      </c>
      <c r="H59" s="95">
        <f>SUM(H52,H58)</f>
      </c>
      <c r="I59" s="95">
        <f>SUM(I52,I58)</f>
      </c>
      <c r="J59" s="95">
        <f>SUM(J52,J58)</f>
      </c>
      <c r="K59" s="95">
        <f>SUM(K52,K58)</f>
      </c>
      <c r="L59" s="95">
        <f>SUM(L52,L58)</f>
      </c>
      <c r="M59" s="95">
        <f>SUM(M52,M58)</f>
      </c>
      <c r="N59" s="95">
        <f>SUM(N52,N58)</f>
      </c>
      <c r="O59" s="95">
        <f>SUM(C59:N59)</f>
      </c>
      <c r="P59" s="96">
        <f>O59/$O$16</f>
      </c>
      <c r="Q59" s="135"/>
      <c r="R59" s="106"/>
    </row>
    <row r="60">
      <c r="A60" s="97"/>
      <c r="B60" s="98" t="str">
        <v>店铺利润</v>
      </c>
      <c r="C60" s="95">
        <f>C22-C59</f>
      </c>
      <c r="D60" s="95">
        <f>D22-D59</f>
      </c>
      <c r="E60" s="95">
        <f>E22-E59</f>
      </c>
      <c r="F60" s="95">
        <f>F22-F59</f>
      </c>
      <c r="G60" s="95">
        <f>G22-G59</f>
      </c>
      <c r="H60" s="95">
        <f>H22-H59</f>
      </c>
      <c r="I60" s="95">
        <f>I22-I59</f>
      </c>
      <c r="J60" s="95">
        <f>J22-J59</f>
      </c>
      <c r="K60" s="95">
        <f>K22-K59</f>
      </c>
      <c r="L60" s="95">
        <f>L22-L59</f>
      </c>
      <c r="M60" s="95">
        <f>M22-M59</f>
      </c>
      <c r="N60" s="95">
        <f>N22-N59</f>
      </c>
      <c r="O60" s="95">
        <f>SUM(C60:N60)</f>
      </c>
      <c r="P60" s="96">
        <f>O60/$O$16</f>
      </c>
      <c r="Q60" s="135"/>
      <c r="R60" s="107"/>
    </row>
    <row r="61">
      <c r="Q61" s="1"/>
    </row>
    <row r="62"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Q62" s="1"/>
    </row>
    <row r="63">
      <c r="Q63" s="1"/>
    </row>
    <row r="64">
      <c r="Q64" s="1"/>
    </row>
    <row r="65">
      <c r="Q65" s="1"/>
    </row>
    <row r="66">
      <c r="Q66" s="1"/>
    </row>
    <row r="67">
      <c r="Q67" s="1"/>
    </row>
    <row r="68">
      <c r="Q68" s="1"/>
    </row>
    <row r="69">
      <c r="Q69" s="1"/>
    </row>
    <row r="70">
      <c r="Q70" s="1"/>
    </row>
    <row r="71">
      <c r="Q71" s="1"/>
    </row>
    <row r="72">
      <c r="Q72" s="1"/>
    </row>
    <row r="73">
      <c r="Q73" s="1"/>
    </row>
    <row r="74">
      <c r="Q74" s="1"/>
    </row>
    <row r="75">
      <c r="Q75" s="1"/>
    </row>
    <row r="76">
      <c r="Q76" s="1"/>
    </row>
    <row r="77">
      <c r="Q77" s="1"/>
    </row>
    <row r="78">
      <c r="Q78" s="1"/>
    </row>
    <row r="79">
      <c r="Q79" s="1"/>
    </row>
    <row r="80">
      <c r="Q80" s="1"/>
    </row>
    <row r="81">
      <c r="Q81" s="1"/>
    </row>
    <row r="82">
      <c r="Q82" s="1"/>
    </row>
    <row r="83">
      <c r="Q83" s="1"/>
    </row>
    <row r="84">
      <c r="Q84" s="1"/>
    </row>
    <row r="85">
      <c r="Q85" s="1"/>
    </row>
    <row r="86">
      <c r="Q86" s="1"/>
    </row>
    <row r="87">
      <c r="Q87" s="1"/>
    </row>
    <row r="88">
      <c r="Q88" s="1"/>
    </row>
    <row r="89">
      <c r="Q89" s="1"/>
    </row>
    <row r="90">
      <c r="Q90" s="1"/>
    </row>
    <row r="91">
      <c r="Q91" s="1"/>
    </row>
    <row r="92">
      <c r="Q92" s="1"/>
    </row>
    <row r="93">
      <c r="Q93" s="1"/>
    </row>
    <row r="94">
      <c r="Q94" s="1"/>
    </row>
    <row r="95">
      <c r="Q95" s="1"/>
    </row>
    <row r="96">
      <c r="Q96" s="1"/>
    </row>
    <row r="97">
      <c r="Q97" s="1"/>
    </row>
    <row r="98">
      <c r="Q98" s="1"/>
    </row>
    <row r="99">
      <c r="Q99" s="1"/>
    </row>
    <row r="100">
      <c r="Q100" s="1"/>
    </row>
    <row r="101">
      <c r="Q101" s="1"/>
    </row>
    <row r="102">
      <c r="Q102" s="1"/>
    </row>
    <row r="103">
      <c r="Q103" s="1"/>
    </row>
    <row r="104">
      <c r="Q104" s="1"/>
    </row>
    <row r="105">
      <c r="Q105" s="1"/>
    </row>
    <row r="106">
      <c r="Q106" s="1"/>
    </row>
    <row r="107">
      <c r="Q107" s="1"/>
    </row>
    <row r="108">
      <c r="Q108" s="1"/>
    </row>
    <row r="109">
      <c r="Q109" s="1"/>
    </row>
    <row r="110">
      <c r="Q110" s="1"/>
    </row>
    <row r="111">
      <c r="Q111" s="1"/>
    </row>
    <row r="112">
      <c r="Q112" s="1"/>
    </row>
    <row r="113">
      <c r="Q113" s="1"/>
    </row>
    <row r="114">
      <c r="Q114" s="1"/>
    </row>
    <row r="115">
      <c r="Q115" s="1"/>
    </row>
    <row r="116">
      <c r="Q116" s="1"/>
    </row>
    <row r="117">
      <c r="Q117" s="1"/>
    </row>
    <row r="118">
      <c r="Q118" s="1"/>
    </row>
    <row r="119">
      <c r="Q119" s="1"/>
    </row>
    <row r="120">
      <c r="Q120" s="1"/>
    </row>
    <row r="121">
      <c r="Q121" s="1"/>
    </row>
    <row r="122">
      <c r="Q122" s="1"/>
    </row>
    <row r="123">
      <c r="Q123" s="1"/>
    </row>
    <row r="124">
      <c r="Q124" s="1"/>
    </row>
    <row r="125">
      <c r="Q125" s="1"/>
    </row>
    <row r="126">
      <c r="Q126" s="1"/>
    </row>
    <row r="127">
      <c r="Q127" s="1"/>
    </row>
    <row r="128">
      <c r="Q128" s="1"/>
    </row>
    <row r="129">
      <c r="Q129" s="1"/>
    </row>
    <row r="130">
      <c r="Q130" s="1"/>
    </row>
    <row r="131">
      <c r="Q131" s="1"/>
    </row>
    <row r="132">
      <c r="Q132" s="1"/>
    </row>
    <row r="133">
      <c r="Q133" s="1"/>
    </row>
    <row r="134">
      <c r="Q134" s="1"/>
    </row>
    <row r="135">
      <c r="Q135" s="1"/>
    </row>
    <row r="136">
      <c r="Q136" s="1"/>
    </row>
    <row r="137">
      <c r="Q137" s="1"/>
    </row>
    <row r="138">
      <c r="Q138" s="1"/>
    </row>
    <row r="139">
      <c r="Q139" s="1"/>
    </row>
    <row r="140">
      <c r="Q140" s="1"/>
    </row>
    <row r="141">
      <c r="Q141" s="1"/>
    </row>
    <row r="142">
      <c r="Q142" s="1"/>
    </row>
    <row r="143">
      <c r="Q143" s="1"/>
    </row>
    <row r="144">
      <c r="Q144" s="1"/>
    </row>
    <row r="145">
      <c r="Q145" s="1"/>
    </row>
    <row r="146">
      <c r="Q146" s="1"/>
    </row>
    <row r="147">
      <c r="Q147" s="1"/>
    </row>
    <row r="148">
      <c r="Q148" s="1"/>
    </row>
    <row r="149">
      <c r="Q149" s="1"/>
    </row>
    <row r="150">
      <c r="Q150" s="1"/>
    </row>
    <row r="151">
      <c r="Q151" s="1"/>
    </row>
    <row r="152">
      <c r="Q152" s="1"/>
    </row>
    <row r="153">
      <c r="Q153" s="1"/>
    </row>
    <row r="154">
      <c r="Q154" s="1"/>
    </row>
    <row r="155">
      <c r="Q155" s="1"/>
    </row>
    <row r="156">
      <c r="Q156" s="1"/>
    </row>
    <row r="157">
      <c r="Q157" s="1"/>
    </row>
    <row r="158">
      <c r="Q158" s="1"/>
    </row>
    <row r="159">
      <c r="Q159" s="1"/>
    </row>
    <row r="160">
      <c r="Q160" s="1"/>
    </row>
    <row r="161">
      <c r="Q161" s="1"/>
    </row>
    <row r="162">
      <c r="Q162" s="1"/>
    </row>
    <row r="163">
      <c r="Q163" s="1"/>
    </row>
    <row r="164">
      <c r="Q164" s="1"/>
    </row>
    <row r="165">
      <c r="Q165" s="1"/>
    </row>
    <row r="166">
      <c r="Q166" s="1"/>
    </row>
    <row r="167">
      <c r="Q167" s="1"/>
    </row>
    <row r="168">
      <c r="Q168" s="1"/>
    </row>
    <row r="169">
      <c r="Q169" s="1"/>
    </row>
    <row r="170">
      <c r="Q170" s="1"/>
    </row>
    <row r="171">
      <c r="Q171" s="1"/>
    </row>
    <row r="172">
      <c r="Q172" s="1"/>
    </row>
    <row r="173">
      <c r="Q173" s="1"/>
    </row>
    <row r="174">
      <c r="Q174" s="1"/>
    </row>
    <row r="175">
      <c r="Q175" s="1"/>
    </row>
    <row r="176">
      <c r="Q176" s="1"/>
    </row>
    <row r="177">
      <c r="Q177" s="1"/>
    </row>
    <row r="178">
      <c r="Q178" s="1"/>
    </row>
    <row r="179">
      <c r="Q179" s="1"/>
    </row>
    <row r="180">
      <c r="Q180" s="1"/>
    </row>
    <row r="181">
      <c r="Q181" s="1"/>
    </row>
    <row r="182">
      <c r="Q182" s="1"/>
    </row>
    <row r="183">
      <c r="Q183" s="1"/>
    </row>
    <row r="184">
      <c r="Q184" s="1"/>
    </row>
    <row r="185">
      <c r="Q185" s="1"/>
    </row>
    <row r="186">
      <c r="Q186" s="1"/>
    </row>
    <row r="187">
      <c r="Q187" s="1"/>
    </row>
    <row r="188">
      <c r="Q188" s="1"/>
    </row>
    <row r="189">
      <c r="Q189" s="1"/>
    </row>
    <row r="190">
      <c r="Q190" s="1"/>
    </row>
    <row r="191">
      <c r="Q191" s="1"/>
    </row>
    <row r="192">
      <c r="Q192" s="1"/>
    </row>
    <row r="193">
      <c r="Q193" s="1"/>
    </row>
    <row r="194">
      <c r="Q194" s="1"/>
    </row>
    <row r="195">
      <c r="Q195" s="1"/>
    </row>
    <row r="196">
      <c r="Q196" s="1"/>
    </row>
    <row r="197">
      <c r="Q197" s="1"/>
    </row>
    <row r="198">
      <c r="Q198" s="1"/>
    </row>
    <row r="199">
      <c r="Q199" s="1"/>
    </row>
    <row r="200">
      <c r="Q200" s="1"/>
    </row>
    <row r="201">
      <c r="Q201" s="1"/>
    </row>
  </sheetData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