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ynxGAV/Documents/Work/Vaccination/Manuscript/Data/"/>
    </mc:Choice>
  </mc:AlternateContent>
  <xr:revisionPtr revIDLastSave="0" documentId="13_ncr:1_{9C18B89F-F5B3-6C4C-8D3F-FE0884A02F3E}" xr6:coauthVersionLast="36" xr6:coauthVersionMax="36" xr10:uidLastSave="{00000000-0000-0000-0000-000000000000}"/>
  <bookViews>
    <workbookView xWindow="1060" yWindow="12640" windowWidth="23960" windowHeight="14620" tabRatio="446" xr2:uid="{00000000-000D-0000-FFFF-FFFF00000000}"/>
  </bookViews>
  <sheets>
    <sheet name="Cenário 2" sheetId="9" r:id="rId1"/>
    <sheet name="Cálculo de Profissionais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9" l="1"/>
  <c r="W8" i="9" l="1"/>
  <c r="J11" i="9"/>
  <c r="F21" i="9" l="1"/>
  <c r="D62" i="9"/>
  <c r="D55" i="9" l="1"/>
  <c r="E19" i="9" l="1"/>
  <c r="E18" i="9"/>
  <c r="E17" i="9"/>
  <c r="E16" i="9"/>
  <c r="F16" i="9" l="1"/>
  <c r="C49" i="9"/>
  <c r="F15" i="9" s="1"/>
  <c r="C43" i="9"/>
  <c r="C44" i="9"/>
  <c r="J9" i="9"/>
  <c r="J10" i="9" s="1"/>
  <c r="K6" i="9"/>
  <c r="K9" i="9" s="1"/>
  <c r="K10" i="9" s="1"/>
  <c r="H20" i="9"/>
  <c r="L9" i="9"/>
  <c r="L10" i="9" s="1"/>
  <c r="M9" i="9"/>
  <c r="M10" i="9" s="1"/>
  <c r="N9" i="9"/>
  <c r="N10" i="9" s="1"/>
  <c r="H21" i="9"/>
  <c r="O9" i="9"/>
  <c r="O10" i="9" s="1"/>
  <c r="F27" i="9"/>
  <c r="H27" i="9" s="1"/>
  <c r="H28" i="9"/>
  <c r="T9" i="9"/>
  <c r="W5" i="9"/>
  <c r="V9" i="9"/>
  <c r="V10" i="9" s="1"/>
  <c r="S9" i="9"/>
  <c r="S10" i="9" s="1"/>
  <c r="P9" i="9"/>
  <c r="P10" i="9" s="1"/>
  <c r="U9" i="9"/>
  <c r="R9" i="9"/>
  <c r="Q9" i="9"/>
  <c r="Q10" i="9" s="1"/>
  <c r="W6" i="9" l="1"/>
  <c r="F11" i="9"/>
  <c r="F29" i="9"/>
  <c r="H16" i="9"/>
  <c r="C21" i="11"/>
  <c r="C42" i="9"/>
  <c r="C41" i="9" s="1"/>
  <c r="W9" i="9"/>
  <c r="W10" i="9" s="1"/>
  <c r="H15" i="9"/>
  <c r="H14" i="9"/>
  <c r="J12" i="9"/>
  <c r="K11" i="9" s="1"/>
  <c r="K12" i="9" s="1"/>
  <c r="L11" i="9" s="1"/>
  <c r="L12" i="9" s="1"/>
  <c r="M11" i="9" s="1"/>
  <c r="M12" i="9" s="1"/>
  <c r="N11" i="9" s="1"/>
  <c r="N12" i="9" s="1"/>
  <c r="O11" i="9" l="1"/>
  <c r="O12" i="9" s="1"/>
  <c r="P11" i="9" s="1"/>
  <c r="P12" i="9" s="1"/>
  <c r="Q11" i="9" s="1"/>
  <c r="Q12" i="9" s="1"/>
  <c r="H29" i="9"/>
  <c r="H30" i="9" s="1"/>
  <c r="F30" i="9" s="1"/>
  <c r="F31" i="9" s="1"/>
</calcChain>
</file>

<file path=xl/sharedStrings.xml><?xml version="1.0" encoding="utf-8"?>
<sst xmlns="http://schemas.openxmlformats.org/spreadsheetml/2006/main" count="152" uniqueCount="113">
  <si>
    <t>AZ</t>
  </si>
  <si>
    <t>Doses</t>
  </si>
  <si>
    <t>Janssen</t>
  </si>
  <si>
    <t>Pfizer</t>
  </si>
  <si>
    <t>Vacinados</t>
  </si>
  <si>
    <t xml:space="preserve">Restante população </t>
  </si>
  <si>
    <t>Total população a vacinar (DGS)</t>
  </si>
  <si>
    <t>Total grupos prioritários (DGS)</t>
  </si>
  <si>
    <t>cobertura do grupo prioritário</t>
  </si>
  <si>
    <t>Empresa</t>
  </si>
  <si>
    <t>Grupo</t>
  </si>
  <si>
    <t>Estimativa do nº de indivíduos (DGS)</t>
  </si>
  <si>
    <t>Total 2021</t>
  </si>
  <si>
    <t>Início da distribuição das vacinas</t>
  </si>
  <si>
    <t>Nº de pessoas a vacinar</t>
  </si>
  <si>
    <t>Total doses</t>
  </si>
  <si>
    <t>Total de 2 doses</t>
  </si>
  <si>
    <t>Profissionais de saúde diretamente envolvidos na prestação de cuidados de saúde a doente</t>
  </si>
  <si>
    <t>Profissionais e residentes (de qualquer idade) em ERPI e instituições similares</t>
  </si>
  <si>
    <t>Fase 1</t>
  </si>
  <si>
    <t>Fase 2</t>
  </si>
  <si>
    <t>Fase 3</t>
  </si>
  <si>
    <t>Vacinas 2 doses (+)/Pessoas por vacinar(-)</t>
  </si>
  <si>
    <t>Doses acumuladas (2 doses)</t>
  </si>
  <si>
    <t>Nº pessoas por vacinar</t>
  </si>
  <si>
    <t>Profissionais das forças de segurança e da Proteção Civil (incluindo Bombeiros)</t>
  </si>
  <si>
    <t>Insuficiência cardíaca</t>
  </si>
  <si>
    <t>Doença coronária</t>
  </si>
  <si>
    <t>Patologias</t>
  </si>
  <si>
    <t>Insuficiência renal (TFG &lt; 60ml/min)</t>
  </si>
  <si>
    <t>DPOC ou doença respiratória crónica sob suporte ventilatório e/ou oxigenoterapia de longa duração</t>
  </si>
  <si>
    <t>Diabetes</t>
  </si>
  <si>
    <t>Neoplasia maligna ativa</t>
  </si>
  <si>
    <t>Insuficiência hepática</t>
  </si>
  <si>
    <t>Doença renal crónica (TFG &gt; 60ml/min)</t>
  </si>
  <si>
    <t xml:space="preserve">Hipertensão arterial </t>
  </si>
  <si>
    <t xml:space="preserve">Pessoas entre os 50 e os 64 anos com pelo menos uma das seguintes patologias:
</t>
  </si>
  <si>
    <t>Pessoas com 50 ou mais anos de idade com pelo menos uma das seguintes patologias :</t>
  </si>
  <si>
    <t>Pessoas com 65 ou mais anos de idade com ou sem patologias (que não tenham sido vacinadas previamente)</t>
  </si>
  <si>
    <t>? 686440,7</t>
  </si>
  <si>
    <t>? 892372,91</t>
  </si>
  <si>
    <t>? 480508,49</t>
  </si>
  <si>
    <t>? 1853389,89</t>
  </si>
  <si>
    <t>? 1372881,4</t>
  </si>
  <si>
    <t>Moderna</t>
  </si>
  <si>
    <t>Profissionais de saude</t>
  </si>
  <si>
    <t>Profissionais do privado</t>
  </si>
  <si>
    <t>Psicologos</t>
  </si>
  <si>
    <t>TDT</t>
  </si>
  <si>
    <t>Nº profissionais nas ordens</t>
  </si>
  <si>
    <t>Profissionais do sector publico</t>
  </si>
  <si>
    <t>Valor anterior</t>
  </si>
  <si>
    <t>Assistentes/Auxiliares Dentários</t>
  </si>
  <si>
    <t>ERPIs + RNCCI</t>
  </si>
  <si>
    <t>ERPI utentes</t>
  </si>
  <si>
    <t>RNCCI utentes</t>
  </si>
  <si>
    <t>ERPI profissionais</t>
  </si>
  <si>
    <t>RNCCI profissionais</t>
  </si>
  <si>
    <t>&gt;50 anos com patologia</t>
  </si>
  <si>
    <t xml:space="preserve">Número de Profissionais - Grupos Prioritários Vacinação </t>
  </si>
  <si>
    <t>Privado</t>
  </si>
  <si>
    <t>Médicos Setor Privado</t>
  </si>
  <si>
    <t>Enfermeiros Setor Privado</t>
  </si>
  <si>
    <t>Técnicos Superiores de Saúde</t>
  </si>
  <si>
    <t>Público</t>
  </si>
  <si>
    <t>Médicos S/Internos</t>
  </si>
  <si>
    <t>Médicos Internos</t>
  </si>
  <si>
    <t>Enfermeiros</t>
  </si>
  <si>
    <r>
      <t>T</t>
    </r>
    <r>
      <rPr>
        <sz val="9"/>
        <color theme="1"/>
        <rFont val="Arial Narrow"/>
        <family val="2"/>
      </rPr>
      <t>écnicos Superiores de Saúde</t>
    </r>
  </si>
  <si>
    <r>
      <t>T</t>
    </r>
    <r>
      <rPr>
        <sz val="9"/>
        <color theme="1"/>
        <rFont val="Calibri"/>
        <family val="2"/>
        <scheme val="minor"/>
      </rPr>
      <t>écnicos Superiores Diagnóstico e Terapêutica</t>
    </r>
  </si>
  <si>
    <r>
      <t>A</t>
    </r>
    <r>
      <rPr>
        <sz val="9"/>
        <color theme="1"/>
        <rFont val="Calibri"/>
        <family val="2"/>
        <scheme val="minor"/>
      </rPr>
      <t xml:space="preserve">ssistentes </t>
    </r>
    <r>
      <rPr>
        <sz val="9"/>
        <color rgb="FF000000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écnicos</t>
    </r>
  </si>
  <si>
    <r>
      <t>A</t>
    </r>
    <r>
      <rPr>
        <sz val="9"/>
        <color theme="1"/>
        <rFont val="Calibri"/>
        <family val="2"/>
        <scheme val="minor"/>
      </rPr>
      <t>ssistentes Operacionais</t>
    </r>
  </si>
  <si>
    <r>
      <t>T</t>
    </r>
    <r>
      <rPr>
        <sz val="9"/>
        <color theme="1"/>
        <rFont val="Calibri"/>
        <family val="2"/>
        <scheme val="minor"/>
      </rPr>
      <t>écnicos de Saúde</t>
    </r>
  </si>
  <si>
    <t>Farmacêuticos</t>
  </si>
  <si>
    <t>Médicos Dentistas</t>
  </si>
  <si>
    <t>Higienistas Orais</t>
  </si>
  <si>
    <t>Assistentes/ Auxiliares Dentários</t>
  </si>
  <si>
    <t>Psicólogos</t>
  </si>
  <si>
    <t>TOTAL</t>
  </si>
  <si>
    <t>segundo a Diana:</t>
  </si>
  <si>
    <t>Com insuf. Renal (ICPC-2: U99) + TFG &lt; 60ml/min/sc. (*)</t>
  </si>
  <si>
    <t>(ICPC-2: R95) + prescrição de oxigenoterapia e/ou ventiloterapia (via PEM)</t>
  </si>
  <si>
    <t>Insuficiência cardíaca e/ou doença coronária</t>
  </si>
  <si>
    <t>de 80% em ERPIs</t>
  </si>
  <si>
    <t>e RNCCIs</t>
  </si>
  <si>
    <t>Assumindo vacinação</t>
  </si>
  <si>
    <t>Estimativa Nº Pessoas (DGS)</t>
  </si>
  <si>
    <t>k77 ou k75</t>
  </si>
  <si>
    <t>k74 ou k76</t>
  </si>
  <si>
    <t>u99</t>
  </si>
  <si>
    <t>r95</t>
  </si>
  <si>
    <t>t89 ou t90</t>
  </si>
  <si>
    <t xml:space="preserve">códigos do indicador 235 </t>
  </si>
  <si>
    <t>doença hepática d97</t>
  </si>
  <si>
    <t>Portal da transparência</t>
  </si>
  <si>
    <t>t82</t>
  </si>
  <si>
    <t>k86 ou k87</t>
  </si>
  <si>
    <t>Notas Cálculos</t>
  </si>
  <si>
    <t>Grupo 1 patologias  &gt;/= 50 anos + Doentes Hemodialisados (65-75+) (570974+8201)</t>
  </si>
  <si>
    <t>Cálculos de Profissionais de Saúde</t>
  </si>
  <si>
    <t>IPC2</t>
  </si>
  <si>
    <t xml:space="preserve">Obesidade </t>
  </si>
  <si>
    <t>Tota a restante populaçao</t>
  </si>
  <si>
    <t>População do Grupo patologias 2 entre 50 a 64 anos + Hemodialisados (25 - 64 anos) (953 514 + 4222)</t>
  </si>
  <si>
    <t>soma de hemodialisados 65+ anos</t>
  </si>
  <si>
    <t>BI-CSP_Nº Utentes por Grupo Etário e Género_ICPC-2_2020-08_v2</t>
  </si>
  <si>
    <t>Do FICHEIRO:</t>
  </si>
  <si>
    <t>apenas 65+</t>
  </si>
  <si>
    <t>População com 65 ou mais anos de idade - População com 65 ou mais anos com patologias do Grupo 1 (=2280424-407075)</t>
  </si>
  <si>
    <t>50-64 anos com patologia</t>
  </si>
  <si>
    <t>total Fase 1</t>
  </si>
  <si>
    <r>
      <t xml:space="preserve">K74 - Doença cardiaca isquémica com angina, K76 - Doença cardíaca isquémica sem angina, </t>
    </r>
    <r>
      <rPr>
        <sz val="11"/>
        <color rgb="FFFF0000"/>
        <rFont val="Calibri"/>
        <family val="2"/>
        <scheme val="minor"/>
      </rPr>
      <t>FALTA K82?</t>
    </r>
  </si>
  <si>
    <r>
      <t xml:space="preserve"> K75 - Enfarte agudo do miocárdio,  K77 - Insuficiência cardíaca; </t>
    </r>
    <r>
      <rPr>
        <sz val="11"/>
        <color rgb="FFFF0000"/>
        <rFont val="Calibri"/>
        <family val="2"/>
        <scheme val="minor"/>
      </rPr>
      <t>FALTA K82?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</si>
</sst>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816]m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F497D"/>
      <name val="Open San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9" borderId="0" applyNumberFormat="0" applyBorder="0" applyAlignment="0" applyProtection="0"/>
  </cellStyleXfs>
  <cellXfs count="168">
    <xf numFmtId="0" fontId="0" fillId="0" borderId="0" xfId="0"/>
    <xf numFmtId="164" fontId="0" fillId="0" borderId="0" xfId="0" applyNumberFormat="1"/>
    <xf numFmtId="164" fontId="6" fillId="0" borderId="2" xfId="1" applyNumberFormat="1" applyFont="1" applyFill="1" applyBorder="1" applyAlignment="1">
      <alignment horizontal="right" vertical="center" wrapText="1"/>
    </xf>
    <xf numFmtId="0" fontId="0" fillId="0" borderId="0" xfId="0" applyBorder="1"/>
    <xf numFmtId="165" fontId="5" fillId="6" borderId="1" xfId="0" applyNumberFormat="1" applyFont="1" applyFill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4" fillId="0" borderId="0" xfId="0" applyFont="1" applyBorder="1" applyAlignment="1">
      <alignment vertical="center"/>
    </xf>
    <xf numFmtId="164" fontId="0" fillId="0" borderId="0" xfId="0" applyNumberFormat="1" applyBorder="1"/>
    <xf numFmtId="164" fontId="0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0" xfId="0" applyFill="1" applyBorder="1"/>
    <xf numFmtId="0" fontId="4" fillId="2" borderId="0" xfId="0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4" fillId="2" borderId="0" xfId="0" applyNumberFormat="1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164" fontId="8" fillId="0" borderId="2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64" fontId="8" fillId="0" borderId="2" xfId="1" applyNumberFormat="1" applyFont="1" applyBorder="1" applyAlignment="1">
      <alignment horizontal="right" vertical="center"/>
    </xf>
    <xf numFmtId="0" fontId="8" fillId="0" borderId="10" xfId="0" applyFont="1" applyBorder="1" applyAlignment="1">
      <alignment vertical="center"/>
    </xf>
    <xf numFmtId="164" fontId="8" fillId="0" borderId="11" xfId="1" applyNumberFormat="1" applyFont="1" applyBorder="1" applyAlignment="1">
      <alignment horizontal="right" vertical="center"/>
    </xf>
    <xf numFmtId="164" fontId="5" fillId="6" borderId="6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13" xfId="1" applyNumberFormat="1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10" fillId="8" borderId="18" xfId="1" applyNumberFormat="1" applyFont="1" applyFill="1" applyBorder="1" applyAlignment="1">
      <alignment vertical="center"/>
    </xf>
    <xf numFmtId="0" fontId="10" fillId="8" borderId="19" xfId="0" applyFont="1" applyFill="1" applyBorder="1" applyAlignment="1">
      <alignment vertical="center" wrapText="1"/>
    </xf>
    <xf numFmtId="0" fontId="10" fillId="8" borderId="7" xfId="0" applyFont="1" applyFill="1" applyBorder="1" applyAlignment="1">
      <alignment vertical="center" wrapText="1"/>
    </xf>
    <xf numFmtId="164" fontId="10" fillId="8" borderId="8" xfId="1" applyNumberFormat="1" applyFont="1" applyFill="1" applyBorder="1" applyAlignment="1">
      <alignment vertical="center"/>
    </xf>
    <xf numFmtId="164" fontId="10" fillId="8" borderId="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 wrapText="1"/>
    </xf>
    <xf numFmtId="0" fontId="8" fillId="0" borderId="20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0" fillId="10" borderId="20" xfId="0" applyFill="1" applyBorder="1" applyAlignment="1">
      <alignment vertical="center" wrapText="1"/>
    </xf>
    <xf numFmtId="0" fontId="0" fillId="10" borderId="24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164" fontId="3" fillId="0" borderId="23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vertical="center" wrapText="1"/>
    </xf>
    <xf numFmtId="164" fontId="13" fillId="0" borderId="20" xfId="1" applyNumberFormat="1" applyFont="1" applyBorder="1" applyAlignment="1">
      <alignment vertical="center" wrapText="1"/>
    </xf>
    <xf numFmtId="0" fontId="11" fillId="9" borderId="0" xfId="3"/>
    <xf numFmtId="164" fontId="0" fillId="0" borderId="2" xfId="1" applyNumberFormat="1" applyFont="1" applyBorder="1" applyAlignment="1">
      <alignment vertical="center"/>
    </xf>
    <xf numFmtId="0" fontId="0" fillId="0" borderId="27" xfId="0" applyBorder="1" applyAlignment="1">
      <alignment vertical="center" wrapText="1"/>
    </xf>
    <xf numFmtId="164" fontId="0" fillId="0" borderId="27" xfId="1" applyNumberFormat="1" applyFont="1" applyBorder="1" applyAlignment="1">
      <alignment vertical="center" wrapText="1"/>
    </xf>
    <xf numFmtId="0" fontId="9" fillId="3" borderId="28" xfId="0" applyFont="1" applyFill="1" applyBorder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0" fillId="0" borderId="5" xfId="0" applyBorder="1" applyAlignment="1">
      <alignment vertical="center" wrapText="1"/>
    </xf>
    <xf numFmtId="164" fontId="0" fillId="0" borderId="6" xfId="1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7" fillId="0" borderId="20" xfId="0" applyFont="1" applyBorder="1" applyAlignment="1">
      <alignment vertical="center"/>
    </xf>
    <xf numFmtId="0" fontId="10" fillId="8" borderId="26" xfId="0" applyFont="1" applyFill="1" applyBorder="1" applyAlignment="1">
      <alignment vertical="center" wrapText="1"/>
    </xf>
    <xf numFmtId="0" fontId="10" fillId="8" borderId="28" xfId="0" applyFont="1" applyFill="1" applyBorder="1" applyAlignment="1">
      <alignment vertical="center" wrapText="1"/>
    </xf>
    <xf numFmtId="1" fontId="10" fillId="7" borderId="8" xfId="1" applyNumberFormat="1" applyFont="1" applyFill="1" applyBorder="1" applyAlignment="1">
      <alignment vertical="center"/>
    </xf>
    <xf numFmtId="3" fontId="3" fillId="0" borderId="13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vertical="center" wrapText="1"/>
    </xf>
    <xf numFmtId="164" fontId="14" fillId="0" borderId="13" xfId="1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11" borderId="0" xfId="0" applyFill="1"/>
    <xf numFmtId="0" fontId="0" fillId="0" borderId="0" xfId="0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/>
    <xf numFmtId="164" fontId="0" fillId="0" borderId="0" xfId="1" applyNumberFormat="1" applyFon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2" xfId="0" applyBorder="1"/>
    <xf numFmtId="0" fontId="0" fillId="0" borderId="2" xfId="0" applyFont="1" applyBorder="1"/>
    <xf numFmtId="0" fontId="0" fillId="8" borderId="2" xfId="0" applyFont="1" applyFill="1" applyBorder="1"/>
    <xf numFmtId="0" fontId="0" fillId="8" borderId="2" xfId="0" applyFill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8" fillId="0" borderId="2" xfId="0" applyFont="1" applyBorder="1"/>
    <xf numFmtId="0" fontId="0" fillId="0" borderId="2" xfId="0" applyBorder="1" applyAlignment="1">
      <alignment vertical="center" wrapText="1"/>
    </xf>
    <xf numFmtId="0" fontId="9" fillId="3" borderId="32" xfId="0" applyFont="1" applyFill="1" applyBorder="1" applyAlignment="1">
      <alignment vertical="center"/>
    </xf>
    <xf numFmtId="164" fontId="12" fillId="0" borderId="2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vertical="center" wrapText="1"/>
    </xf>
    <xf numFmtId="164" fontId="13" fillId="0" borderId="2" xfId="1" applyNumberFormat="1" applyFont="1" applyBorder="1" applyAlignment="1">
      <alignment horizontal="center" vertical="center" wrapText="1"/>
    </xf>
    <xf numFmtId="0" fontId="9" fillId="3" borderId="26" xfId="0" applyFont="1" applyFill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13" fillId="0" borderId="0" xfId="1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164" fontId="0" fillId="11" borderId="0" xfId="0" applyNumberFormat="1" applyFill="1"/>
    <xf numFmtId="0" fontId="0" fillId="0" borderId="0" xfId="0" applyBorder="1" applyAlignment="1">
      <alignment horizontal="right" vertical="center"/>
    </xf>
    <xf numFmtId="0" fontId="18" fillId="0" borderId="0" xfId="0" applyFont="1" applyBorder="1"/>
    <xf numFmtId="0" fontId="0" fillId="0" borderId="30" xfId="0" applyBorder="1" applyAlignment="1">
      <alignment vertical="center" wrapText="1"/>
    </xf>
    <xf numFmtId="0" fontId="0" fillId="0" borderId="15" xfId="0" applyBorder="1"/>
    <xf numFmtId="1" fontId="10" fillId="7" borderId="32" xfId="1" applyNumberFormat="1" applyFont="1" applyFill="1" applyBorder="1" applyAlignment="1">
      <alignment vertical="center"/>
    </xf>
    <xf numFmtId="164" fontId="10" fillId="7" borderId="34" xfId="1" applyNumberFormat="1" applyFont="1" applyFill="1" applyBorder="1" applyAlignment="1">
      <alignment vertical="center"/>
    </xf>
    <xf numFmtId="1" fontId="10" fillId="7" borderId="35" xfId="1" applyNumberFormat="1" applyFont="1" applyFill="1" applyBorder="1" applyAlignment="1">
      <alignment vertical="center"/>
    </xf>
    <xf numFmtId="1" fontId="14" fillId="0" borderId="13" xfId="1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1" fontId="10" fillId="0" borderId="18" xfId="1" applyNumberFormat="1" applyFont="1" applyFill="1" applyBorder="1" applyAlignment="1">
      <alignment horizontal="center" vertical="center"/>
    </xf>
    <xf numFmtId="1" fontId="10" fillId="0" borderId="23" xfId="1" applyNumberFormat="1" applyFont="1" applyFill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23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164" fontId="0" fillId="0" borderId="13" xfId="1" applyNumberFormat="1" applyFont="1" applyBorder="1" applyAlignment="1">
      <alignment horizontal="center" vertical="center"/>
    </xf>
    <xf numFmtId="164" fontId="12" fillId="10" borderId="2" xfId="1" applyNumberFormat="1" applyFont="1" applyFill="1" applyBorder="1" applyAlignment="1">
      <alignment horizontal="left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4" fontId="0" fillId="0" borderId="6" xfId="1" applyNumberFormat="1" applyFont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164" fontId="0" fillId="10" borderId="24" xfId="0" applyNumberFormat="1" applyFill="1" applyBorder="1" applyAlignment="1">
      <alignment horizontal="center" vertical="center" wrapText="1"/>
    </xf>
    <xf numFmtId="164" fontId="0" fillId="0" borderId="13" xfId="1" applyNumberFormat="1" applyFont="1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3" fontId="3" fillId="4" borderId="13" xfId="0" applyNumberFormat="1" applyFont="1" applyFill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3" fontId="3" fillId="4" borderId="13" xfId="0" applyNumberFormat="1" applyFont="1" applyFill="1" applyBorder="1" applyAlignment="1">
      <alignment horizontal="center" vertical="center" wrapText="1"/>
    </xf>
    <xf numFmtId="3" fontId="3" fillId="4" borderId="23" xfId="0" applyNumberFormat="1" applyFont="1" applyFill="1" applyBorder="1" applyAlignment="1">
      <alignment horizontal="center" vertical="center" wrapText="1"/>
    </xf>
    <xf numFmtId="3" fontId="3" fillId="4" borderId="1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0" fillId="0" borderId="24" xfId="0" applyBorder="1" applyAlignment="1">
      <alignment horizontal="center" vertical="center"/>
    </xf>
  </cellXfs>
  <cellStyles count="4">
    <cellStyle name="Bad" xfId="3" builtinId="27"/>
    <cellStyle name="Comma" xfId="1" builtinId="3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D2" zoomScale="71" zoomScaleNormal="71" workbookViewId="0">
      <selection activeCell="P28" sqref="P28"/>
    </sheetView>
  </sheetViews>
  <sheetFormatPr baseColWidth="10" defaultColWidth="8.83203125" defaultRowHeight="15"/>
  <cols>
    <col min="2" max="2" width="39.6640625" customWidth="1"/>
    <col min="3" max="3" width="49.5" customWidth="1"/>
    <col min="4" max="4" width="24.5" customWidth="1"/>
    <col min="5" max="5" width="19.6640625" customWidth="1"/>
    <col min="6" max="6" width="22.1640625" customWidth="1"/>
    <col min="7" max="7" width="26.83203125" customWidth="1"/>
    <col min="8" max="8" width="18.5" customWidth="1"/>
    <col min="9" max="9" width="21.83203125" customWidth="1"/>
    <col min="10" max="10" width="16.5" customWidth="1"/>
    <col min="11" max="11" width="18.83203125" customWidth="1"/>
    <col min="12" max="16" width="16.83203125" customWidth="1"/>
    <col min="17" max="17" width="17.83203125" customWidth="1"/>
    <col min="18" max="21" width="16.83203125" customWidth="1"/>
    <col min="22" max="22" width="19.5" customWidth="1"/>
    <col min="23" max="23" width="16.83203125" customWidth="1"/>
    <col min="26" max="26" width="12.5" bestFit="1" customWidth="1"/>
  </cols>
  <sheetData>
    <row r="1" spans="1:26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6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6" ht="16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Q3" s="54"/>
      <c r="R3" s="54"/>
      <c r="S3" s="54"/>
      <c r="T3" s="54"/>
      <c r="U3" s="54"/>
      <c r="V3" s="54"/>
      <c r="W3" s="54"/>
    </row>
    <row r="4" spans="1:26" ht="16">
      <c r="A4" s="59"/>
      <c r="B4" s="59"/>
      <c r="C4" s="59"/>
      <c r="D4" s="59"/>
      <c r="E4" s="59"/>
      <c r="F4" s="59"/>
      <c r="G4" s="59"/>
      <c r="H4" s="59"/>
      <c r="I4" s="4" t="s">
        <v>9</v>
      </c>
      <c r="J4" s="4">
        <v>44166</v>
      </c>
      <c r="K4" s="4">
        <v>44197</v>
      </c>
      <c r="L4" s="4">
        <v>44228</v>
      </c>
      <c r="M4" s="4">
        <v>44256</v>
      </c>
      <c r="N4" s="4">
        <v>44287</v>
      </c>
      <c r="O4" s="4">
        <v>44317</v>
      </c>
      <c r="P4" s="4">
        <v>44348</v>
      </c>
      <c r="Q4" s="4">
        <v>44378</v>
      </c>
      <c r="R4" s="4">
        <v>44409</v>
      </c>
      <c r="S4" s="4">
        <v>44440</v>
      </c>
      <c r="T4" s="4">
        <v>44470</v>
      </c>
      <c r="U4" s="4">
        <v>44501</v>
      </c>
      <c r="V4" s="4">
        <v>44531</v>
      </c>
      <c r="W4" s="4" t="s">
        <v>12</v>
      </c>
    </row>
    <row r="5" spans="1:26">
      <c r="A5" s="59"/>
      <c r="B5" s="59"/>
      <c r="C5" s="59"/>
      <c r="D5" s="59"/>
      <c r="E5" s="59"/>
      <c r="F5" s="59"/>
      <c r="G5" s="59"/>
      <c r="H5" s="59"/>
      <c r="I5" s="31" t="s">
        <v>0</v>
      </c>
      <c r="J5" s="64"/>
      <c r="K5" s="32" t="s">
        <v>39</v>
      </c>
      <c r="L5" s="32" t="s">
        <v>40</v>
      </c>
      <c r="M5" s="32" t="s">
        <v>39</v>
      </c>
      <c r="N5" s="32" t="s">
        <v>41</v>
      </c>
      <c r="O5" s="32" t="s">
        <v>42</v>
      </c>
      <c r="P5" s="32" t="s">
        <v>40</v>
      </c>
      <c r="Q5" s="32" t="s">
        <v>43</v>
      </c>
      <c r="R5" s="32"/>
      <c r="S5" s="32"/>
      <c r="T5" s="32"/>
      <c r="U5" s="32"/>
      <c r="V5" s="32"/>
      <c r="W5" s="33">
        <f>SUM(K5:V5)</f>
        <v>0</v>
      </c>
    </row>
    <row r="6" spans="1:26">
      <c r="A6" s="59"/>
      <c r="B6" s="59"/>
      <c r="C6" s="59"/>
      <c r="D6" s="59"/>
      <c r="E6" s="59"/>
      <c r="F6" s="59"/>
      <c r="G6" s="59"/>
      <c r="H6" s="59"/>
      <c r="I6" s="31" t="s">
        <v>3</v>
      </c>
      <c r="J6" s="32">
        <v>79950</v>
      </c>
      <c r="K6" s="32">
        <f>79959*4</f>
        <v>319836</v>
      </c>
      <c r="L6" s="32">
        <v>429000</v>
      </c>
      <c r="M6" s="32">
        <v>487500</v>
      </c>
      <c r="N6" s="32"/>
      <c r="O6" s="32"/>
      <c r="P6" s="32">
        <v>1362241.3967998454</v>
      </c>
      <c r="Q6" s="32"/>
      <c r="R6" s="32"/>
      <c r="S6" s="32">
        <v>1702801.7459998066</v>
      </c>
      <c r="T6" s="32"/>
      <c r="U6" s="32"/>
      <c r="V6" s="32"/>
      <c r="W6" s="33">
        <f>SUM(J6:V6)</f>
        <v>4381329.1427996522</v>
      </c>
    </row>
    <row r="7" spans="1:26">
      <c r="A7" s="59"/>
      <c r="B7" s="59"/>
      <c r="C7" s="59"/>
      <c r="D7" s="59"/>
      <c r="E7" s="59"/>
      <c r="F7" s="59"/>
      <c r="G7" s="59"/>
      <c r="H7" s="59"/>
      <c r="I7" s="31" t="s">
        <v>44</v>
      </c>
      <c r="J7" s="64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</row>
    <row r="8" spans="1:26">
      <c r="A8" s="59"/>
      <c r="B8" s="59"/>
      <c r="C8" s="59"/>
      <c r="D8" s="59"/>
      <c r="E8" s="60"/>
      <c r="F8" s="59"/>
      <c r="G8" s="59"/>
      <c r="H8" s="59"/>
      <c r="I8" s="31" t="s">
        <v>2</v>
      </c>
      <c r="J8" s="64"/>
      <c r="K8" s="32"/>
      <c r="L8" s="32"/>
      <c r="M8" s="2"/>
      <c r="N8" s="32"/>
      <c r="O8" s="32"/>
      <c r="P8" s="2">
        <v>1248827.98944922</v>
      </c>
      <c r="Q8" s="32"/>
      <c r="R8" s="32"/>
      <c r="S8" s="2">
        <v>2724715.6133437525</v>
      </c>
      <c r="T8" s="32"/>
      <c r="U8" s="32"/>
      <c r="V8" s="32">
        <v>567649.08611328178</v>
      </c>
      <c r="W8" s="33">
        <f>SUM(J8:V8)</f>
        <v>4541192.6889062542</v>
      </c>
    </row>
    <row r="9" spans="1:26">
      <c r="A9" s="59"/>
      <c r="B9" s="59"/>
      <c r="C9" s="60"/>
      <c r="D9" s="60"/>
      <c r="E9" s="59"/>
      <c r="F9" s="59"/>
      <c r="G9" s="59"/>
      <c r="H9" s="59"/>
      <c r="I9" s="34" t="s">
        <v>15</v>
      </c>
      <c r="J9" s="30">
        <f t="shared" ref="J9" si="0">SUM(J5:J8)</f>
        <v>79950</v>
      </c>
      <c r="K9" s="30">
        <f t="shared" ref="K9:U9" si="1">SUM(K5:K8)</f>
        <v>319836</v>
      </c>
      <c r="L9" s="30">
        <f>SUM(L5:L8)</f>
        <v>429000</v>
      </c>
      <c r="M9" s="30">
        <f t="shared" si="1"/>
        <v>487500</v>
      </c>
      <c r="N9" s="30">
        <f>SUM(N5:N8)</f>
        <v>0</v>
      </c>
      <c r="O9" s="30">
        <f t="shared" si="1"/>
        <v>0</v>
      </c>
      <c r="P9" s="30">
        <f>SUM(P5:P8)</f>
        <v>2611069.3862490654</v>
      </c>
      <c r="Q9" s="30">
        <f t="shared" si="1"/>
        <v>0</v>
      </c>
      <c r="R9" s="30">
        <f t="shared" si="1"/>
        <v>0</v>
      </c>
      <c r="S9" s="30">
        <f>SUM(S5:S8)</f>
        <v>4427517.3593435585</v>
      </c>
      <c r="T9" s="30">
        <f>SUM(T5:T8)</f>
        <v>0</v>
      </c>
      <c r="U9" s="30">
        <f t="shared" si="1"/>
        <v>0</v>
      </c>
      <c r="V9" s="35">
        <f>SUM(V5:V8)</f>
        <v>567649.08611328178</v>
      </c>
      <c r="W9" s="30">
        <f>SUM(W5:W8)</f>
        <v>8922521.8317059055</v>
      </c>
    </row>
    <row r="10" spans="1:26">
      <c r="C10" s="1"/>
      <c r="D10" s="1"/>
      <c r="F10" s="74" t="s">
        <v>110</v>
      </c>
      <c r="I10" s="36" t="s">
        <v>16</v>
      </c>
      <c r="J10" s="35">
        <f>J9/2</f>
        <v>39975</v>
      </c>
      <c r="K10" s="35">
        <f>K9/2</f>
        <v>159918</v>
      </c>
      <c r="L10" s="35">
        <f t="shared" ref="L10:Q10" si="2">(L9/2)</f>
        <v>214500</v>
      </c>
      <c r="M10" s="35">
        <f t="shared" si="2"/>
        <v>243750</v>
      </c>
      <c r="N10" s="35">
        <f t="shared" si="2"/>
        <v>0</v>
      </c>
      <c r="O10" s="35">
        <f t="shared" si="2"/>
        <v>0</v>
      </c>
      <c r="P10" s="35">
        <f t="shared" si="2"/>
        <v>1305534.6931245327</v>
      </c>
      <c r="Q10" s="35">
        <f t="shared" si="2"/>
        <v>0</v>
      </c>
      <c r="R10" s="35"/>
      <c r="S10" s="35">
        <f>(S9/2)</f>
        <v>2213758.6796717793</v>
      </c>
      <c r="T10" s="35"/>
      <c r="U10" s="35"/>
      <c r="V10" s="35">
        <f>V9/2</f>
        <v>283824.54305664089</v>
      </c>
      <c r="W10" s="35">
        <f>W9/2</f>
        <v>4461260.9158529527</v>
      </c>
    </row>
    <row r="11" spans="1:26" ht="17" thickBot="1">
      <c r="B11" s="1"/>
      <c r="C11" s="1"/>
      <c r="D11" s="1"/>
      <c r="E11" s="1"/>
      <c r="F11" s="114">
        <f>SUM(F14:F19)</f>
        <v>861461.2</v>
      </c>
      <c r="G11" s="1"/>
      <c r="I11" s="70" t="s">
        <v>14</v>
      </c>
      <c r="J11" s="71">
        <f>F14</f>
        <v>199708</v>
      </c>
      <c r="K11" s="71">
        <f>-J12+F15</f>
        <v>307852.2</v>
      </c>
      <c r="L11" s="71">
        <f>-K12+F16</f>
        <v>661568.19999999995</v>
      </c>
      <c r="M11" s="71">
        <f>-L12</f>
        <v>447068.19999999995</v>
      </c>
      <c r="N11" s="71">
        <f>-M12</f>
        <v>203318.19999999995</v>
      </c>
      <c r="O11" s="71">
        <f>-N12+F21+F20</f>
        <v>3536509.2</v>
      </c>
      <c r="P11" s="71">
        <f>-O12+F27</f>
        <v>3612409.2</v>
      </c>
      <c r="Q11" s="111">
        <f>-P12</f>
        <v>2306874.5068754675</v>
      </c>
      <c r="R11" s="71"/>
      <c r="S11" s="71"/>
      <c r="T11" s="71"/>
      <c r="U11" s="71"/>
      <c r="V11" s="71"/>
      <c r="W11" s="71"/>
    </row>
    <row r="12" spans="1:26" ht="45" customHeight="1" thickBot="1">
      <c r="F12" s="1"/>
      <c r="G12" s="1"/>
      <c r="I12" s="37" t="s">
        <v>22</v>
      </c>
      <c r="J12" s="67">
        <f>J10-J11</f>
        <v>-159733</v>
      </c>
      <c r="K12" s="67">
        <f>K10-K11</f>
        <v>-147934.20000000001</v>
      </c>
      <c r="L12" s="67">
        <f t="shared" ref="L12:P12" si="3">L10-L11</f>
        <v>-447068.19999999995</v>
      </c>
      <c r="M12" s="67">
        <f t="shared" si="3"/>
        <v>-203318.19999999995</v>
      </c>
      <c r="N12" s="67">
        <f>N10-N11</f>
        <v>-203318.19999999995</v>
      </c>
      <c r="O12" s="67">
        <f>O10-O11</f>
        <v>-3536509.2</v>
      </c>
      <c r="P12" s="67">
        <f t="shared" si="3"/>
        <v>-2306874.5068754675</v>
      </c>
      <c r="Q12" s="67">
        <f>Q10-Q11</f>
        <v>-2306874.5068754675</v>
      </c>
      <c r="R12" s="67"/>
      <c r="S12" s="67"/>
      <c r="T12" s="67"/>
      <c r="U12" s="108"/>
      <c r="V12" s="110"/>
      <c r="W12" s="109"/>
      <c r="Z12" s="1"/>
    </row>
    <row r="13" spans="1:26" ht="37.5" customHeight="1" thickBot="1">
      <c r="A13" s="107"/>
      <c r="B13" s="58" t="s">
        <v>10</v>
      </c>
      <c r="C13" s="58" t="s">
        <v>28</v>
      </c>
      <c r="D13" s="98" t="s">
        <v>100</v>
      </c>
      <c r="E13" s="88" t="s">
        <v>86</v>
      </c>
      <c r="F13" s="87" t="s">
        <v>11</v>
      </c>
      <c r="G13" s="93" t="s">
        <v>97</v>
      </c>
      <c r="H13" s="86" t="s">
        <v>1</v>
      </c>
      <c r="I13" s="115"/>
      <c r="J13" s="150" t="s">
        <v>4</v>
      </c>
      <c r="K13" s="150" t="s">
        <v>4</v>
      </c>
      <c r="L13" s="150" t="s">
        <v>4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6"/>
      <c r="Z13" s="1"/>
    </row>
    <row r="14" spans="1:26" ht="45" customHeight="1">
      <c r="A14" s="122" t="s">
        <v>19</v>
      </c>
      <c r="B14" s="106" t="s">
        <v>17</v>
      </c>
      <c r="C14" s="139"/>
      <c r="D14" s="140"/>
      <c r="E14" s="141"/>
      <c r="F14" s="9">
        <v>199708</v>
      </c>
      <c r="G14" s="97" t="s">
        <v>99</v>
      </c>
      <c r="H14" s="9">
        <f>F14*2</f>
        <v>399416</v>
      </c>
      <c r="I14" s="116"/>
      <c r="J14" s="147"/>
      <c r="K14" s="147"/>
      <c r="L14" s="147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7"/>
      <c r="Z14" s="1"/>
    </row>
    <row r="15" spans="1:26" ht="45" customHeight="1">
      <c r="A15" s="123"/>
      <c r="B15" s="44" t="s">
        <v>18</v>
      </c>
      <c r="C15" s="49"/>
      <c r="D15" s="90"/>
      <c r="E15" s="48"/>
      <c r="F15" s="9">
        <f>C49</f>
        <v>148119.20000000001</v>
      </c>
      <c r="G15" s="94"/>
      <c r="H15" s="9">
        <f>F15*2</f>
        <v>296238.40000000002</v>
      </c>
      <c r="I15" s="10"/>
      <c r="J15" s="10"/>
      <c r="K15" s="21" t="s">
        <v>4</v>
      </c>
      <c r="L15" s="21" t="s">
        <v>4</v>
      </c>
      <c r="M15" s="22" t="s">
        <v>4</v>
      </c>
      <c r="N15" s="22" t="s">
        <v>4</v>
      </c>
      <c r="O15" s="23"/>
      <c r="P15" s="22"/>
      <c r="Q15" s="22"/>
      <c r="R15" s="19"/>
      <c r="S15" s="19"/>
      <c r="T15" s="20"/>
      <c r="U15" s="10"/>
      <c r="V15" s="10"/>
      <c r="W15" s="10"/>
      <c r="Z15" s="1"/>
    </row>
    <row r="16" spans="1:26" ht="17.5" customHeight="1">
      <c r="A16" s="123"/>
      <c r="B16" s="128" t="s">
        <v>37</v>
      </c>
      <c r="C16" s="56" t="s">
        <v>26</v>
      </c>
      <c r="D16" s="91" t="s">
        <v>87</v>
      </c>
      <c r="E16" s="57">
        <f>D56</f>
        <v>207571</v>
      </c>
      <c r="F16" s="129">
        <f>SUM(E16:E19)</f>
        <v>513634</v>
      </c>
      <c r="G16" s="143" t="s">
        <v>98</v>
      </c>
      <c r="H16" s="129">
        <f>F16*2</f>
        <v>1027268</v>
      </c>
      <c r="I16" s="118"/>
      <c r="J16" s="125"/>
      <c r="K16" s="125"/>
      <c r="L16" s="146" t="s">
        <v>4</v>
      </c>
      <c r="M16" s="148" t="s">
        <v>4</v>
      </c>
      <c r="N16" s="146" t="s">
        <v>4</v>
      </c>
      <c r="O16" s="146" t="s">
        <v>4</v>
      </c>
      <c r="P16" s="119"/>
      <c r="Q16" s="118"/>
      <c r="R16" s="118"/>
      <c r="S16" s="118"/>
      <c r="T16" s="118"/>
      <c r="U16" s="118"/>
      <c r="V16" s="118"/>
      <c r="W16" s="121"/>
      <c r="Z16" s="1"/>
    </row>
    <row r="17" spans="1:26" ht="17.5" customHeight="1">
      <c r="A17" s="123"/>
      <c r="B17" s="128"/>
      <c r="C17" s="44" t="s">
        <v>27</v>
      </c>
      <c r="D17" s="91" t="s">
        <v>88</v>
      </c>
      <c r="E17" s="57">
        <f>D57</f>
        <v>169265</v>
      </c>
      <c r="F17" s="129"/>
      <c r="G17" s="143"/>
      <c r="H17" s="129"/>
      <c r="I17" s="119"/>
      <c r="J17" s="126"/>
      <c r="K17" s="126"/>
      <c r="L17" s="146"/>
      <c r="M17" s="148"/>
      <c r="N17" s="146"/>
      <c r="O17" s="146"/>
      <c r="P17" s="119"/>
      <c r="Q17" s="119"/>
      <c r="R17" s="119"/>
      <c r="S17" s="119"/>
      <c r="T17" s="119"/>
      <c r="U17" s="119"/>
      <c r="V17" s="119"/>
      <c r="W17" s="121"/>
      <c r="Z17" s="1"/>
    </row>
    <row r="18" spans="1:26" ht="17.5" customHeight="1">
      <c r="A18" s="123"/>
      <c r="B18" s="128"/>
      <c r="C18" s="44" t="s">
        <v>29</v>
      </c>
      <c r="D18" s="91" t="s">
        <v>89</v>
      </c>
      <c r="E18" s="57">
        <f>D58</f>
        <v>8201</v>
      </c>
      <c r="F18" s="129"/>
      <c r="G18" s="143"/>
      <c r="H18" s="129"/>
      <c r="I18" s="119"/>
      <c r="J18" s="126"/>
      <c r="K18" s="126"/>
      <c r="L18" s="146"/>
      <c r="M18" s="148"/>
      <c r="N18" s="146"/>
      <c r="O18" s="146"/>
      <c r="P18" s="119"/>
      <c r="Q18" s="119"/>
      <c r="R18" s="119"/>
      <c r="S18" s="119"/>
      <c r="T18" s="119"/>
      <c r="U18" s="119"/>
      <c r="V18" s="119"/>
      <c r="W18" s="121"/>
      <c r="Z18" s="1"/>
    </row>
    <row r="19" spans="1:26" ht="33" customHeight="1" thickBot="1">
      <c r="A19" s="124"/>
      <c r="B19" s="128"/>
      <c r="C19" s="44" t="s">
        <v>30</v>
      </c>
      <c r="D19" s="91" t="s">
        <v>90</v>
      </c>
      <c r="E19" s="57">
        <f>D59</f>
        <v>128597</v>
      </c>
      <c r="F19" s="129"/>
      <c r="G19" s="144"/>
      <c r="H19" s="129"/>
      <c r="I19" s="120"/>
      <c r="J19" s="127"/>
      <c r="K19" s="127"/>
      <c r="L19" s="147"/>
      <c r="M19" s="149"/>
      <c r="N19" s="147"/>
      <c r="O19" s="147"/>
      <c r="P19" s="120"/>
      <c r="Q19" s="120"/>
      <c r="R19" s="120"/>
      <c r="S19" s="120"/>
      <c r="T19" s="120"/>
      <c r="U19" s="120"/>
      <c r="V19" s="120"/>
      <c r="W19" s="121"/>
      <c r="Z19" s="1"/>
    </row>
    <row r="20" spans="1:26" ht="74" customHeight="1">
      <c r="A20" s="122" t="s">
        <v>20</v>
      </c>
      <c r="B20" s="38" t="s">
        <v>38</v>
      </c>
      <c r="C20" s="142"/>
      <c r="D20" s="140"/>
      <c r="E20" s="141"/>
      <c r="F20" s="9">
        <f>2280424-SUM(E56:E59)</f>
        <v>1873349</v>
      </c>
      <c r="G20" s="95" t="s">
        <v>108</v>
      </c>
      <c r="H20" s="9">
        <f>F20*2</f>
        <v>3746698</v>
      </c>
      <c r="I20" s="10"/>
      <c r="J20" s="68"/>
      <c r="K20" s="22"/>
      <c r="L20" s="69"/>
      <c r="M20" s="69"/>
      <c r="N20" s="69"/>
      <c r="O20" s="21" t="s">
        <v>4</v>
      </c>
      <c r="P20" s="21" t="s">
        <v>4</v>
      </c>
      <c r="Q20" s="21" t="s">
        <v>4</v>
      </c>
      <c r="R20" s="19"/>
      <c r="S20" s="19"/>
      <c r="T20" s="20"/>
      <c r="U20" s="10"/>
      <c r="V20" s="10"/>
      <c r="W20" s="10"/>
    </row>
    <row r="21" spans="1:26" ht="15" customHeight="1">
      <c r="A21" s="123"/>
      <c r="B21" s="134" t="s">
        <v>36</v>
      </c>
      <c r="C21" s="44" t="s">
        <v>31</v>
      </c>
      <c r="D21" s="91" t="s">
        <v>91</v>
      </c>
      <c r="E21" s="52">
        <v>222864</v>
      </c>
      <c r="F21" s="137">
        <f>SUM(E21:E26)</f>
        <v>1459842</v>
      </c>
      <c r="G21" s="145" t="s">
        <v>103</v>
      </c>
      <c r="H21" s="137">
        <f>F21*2</f>
        <v>2919684</v>
      </c>
      <c r="I21" s="153"/>
      <c r="J21" s="162"/>
      <c r="K21" s="156"/>
      <c r="L21" s="156"/>
      <c r="M21" s="156"/>
      <c r="N21" s="159"/>
      <c r="O21" s="152" t="s">
        <v>4</v>
      </c>
      <c r="P21" s="152" t="s">
        <v>4</v>
      </c>
      <c r="Q21" s="152" t="s">
        <v>4</v>
      </c>
      <c r="R21" s="163"/>
      <c r="S21" s="163"/>
      <c r="T21" s="163"/>
      <c r="U21" s="153"/>
      <c r="V21" s="153"/>
      <c r="W21" s="151"/>
    </row>
    <row r="22" spans="1:26" ht="16">
      <c r="A22" s="123"/>
      <c r="B22" s="135"/>
      <c r="C22" s="44" t="s">
        <v>32</v>
      </c>
      <c r="D22" s="91" t="s">
        <v>92</v>
      </c>
      <c r="E22" s="52">
        <v>114246</v>
      </c>
      <c r="F22" s="129"/>
      <c r="G22" s="143"/>
      <c r="H22" s="129"/>
      <c r="I22" s="154"/>
      <c r="J22" s="162"/>
      <c r="K22" s="157"/>
      <c r="L22" s="157"/>
      <c r="M22" s="157"/>
      <c r="N22" s="160"/>
      <c r="O22" s="146"/>
      <c r="P22" s="146"/>
      <c r="Q22" s="146"/>
      <c r="R22" s="164"/>
      <c r="S22" s="164"/>
      <c r="T22" s="164"/>
      <c r="U22" s="154"/>
      <c r="V22" s="154"/>
      <c r="W22" s="151"/>
    </row>
    <row r="23" spans="1:26" ht="16">
      <c r="A23" s="123"/>
      <c r="B23" s="135"/>
      <c r="C23" s="44" t="s">
        <v>33</v>
      </c>
      <c r="D23" s="91" t="s">
        <v>93</v>
      </c>
      <c r="E23" s="52">
        <v>93004</v>
      </c>
      <c r="F23" s="129"/>
      <c r="G23" s="143"/>
      <c r="H23" s="129"/>
      <c r="I23" s="154"/>
      <c r="J23" s="162"/>
      <c r="K23" s="157"/>
      <c r="L23" s="157"/>
      <c r="M23" s="157"/>
      <c r="N23" s="160"/>
      <c r="O23" s="146"/>
      <c r="P23" s="146"/>
      <c r="Q23" s="146"/>
      <c r="R23" s="164"/>
      <c r="S23" s="164"/>
      <c r="T23" s="164"/>
      <c r="U23" s="154"/>
      <c r="V23" s="154"/>
      <c r="W23" s="151"/>
    </row>
    <row r="24" spans="1:26" ht="16">
      <c r="A24" s="123"/>
      <c r="B24" s="135"/>
      <c r="C24" s="44" t="s">
        <v>34</v>
      </c>
      <c r="D24" s="92" t="s">
        <v>94</v>
      </c>
      <c r="E24" s="53">
        <v>4222</v>
      </c>
      <c r="F24" s="129"/>
      <c r="G24" s="143"/>
      <c r="H24" s="129"/>
      <c r="I24" s="154"/>
      <c r="J24" s="162"/>
      <c r="K24" s="157"/>
      <c r="L24" s="157"/>
      <c r="M24" s="157"/>
      <c r="N24" s="160"/>
      <c r="O24" s="146"/>
      <c r="P24" s="146"/>
      <c r="Q24" s="146"/>
      <c r="R24" s="164"/>
      <c r="S24" s="164"/>
      <c r="T24" s="164"/>
      <c r="U24" s="154"/>
      <c r="V24" s="154"/>
      <c r="W24" s="151"/>
    </row>
    <row r="25" spans="1:26" ht="16">
      <c r="A25" s="123"/>
      <c r="B25" s="135"/>
      <c r="C25" s="44" t="s">
        <v>101</v>
      </c>
      <c r="D25" s="91" t="s">
        <v>95</v>
      </c>
      <c r="E25" s="52">
        <v>392959</v>
      </c>
      <c r="F25" s="129"/>
      <c r="G25" s="143"/>
      <c r="H25" s="129"/>
      <c r="I25" s="154"/>
      <c r="J25" s="162"/>
      <c r="K25" s="157"/>
      <c r="L25" s="157"/>
      <c r="M25" s="157"/>
      <c r="N25" s="160"/>
      <c r="O25" s="146"/>
      <c r="P25" s="146"/>
      <c r="Q25" s="146"/>
      <c r="R25" s="164"/>
      <c r="S25" s="164"/>
      <c r="T25" s="164"/>
      <c r="U25" s="154"/>
      <c r="V25" s="154"/>
      <c r="W25" s="151"/>
    </row>
    <row r="26" spans="1:26" ht="16">
      <c r="A26" s="123"/>
      <c r="B26" s="136"/>
      <c r="C26" s="44" t="s">
        <v>35</v>
      </c>
      <c r="D26" s="91" t="s">
        <v>96</v>
      </c>
      <c r="E26" s="52">
        <v>632547</v>
      </c>
      <c r="F26" s="138"/>
      <c r="G26" s="144"/>
      <c r="H26" s="138"/>
      <c r="I26" s="155"/>
      <c r="J26" s="162"/>
      <c r="K26" s="158"/>
      <c r="L26" s="158"/>
      <c r="M26" s="158"/>
      <c r="N26" s="161"/>
      <c r="O26" s="147"/>
      <c r="P26" s="147"/>
      <c r="Q26" s="147"/>
      <c r="R26" s="165"/>
      <c r="S26" s="165"/>
      <c r="T26" s="165"/>
      <c r="U26" s="155"/>
      <c r="V26" s="155"/>
      <c r="W26" s="151"/>
    </row>
    <row r="27" spans="1:26" ht="63" customHeight="1" thickBot="1">
      <c r="A27" s="124"/>
      <c r="B27" s="61" t="s">
        <v>25</v>
      </c>
      <c r="C27" s="131"/>
      <c r="D27" s="132"/>
      <c r="E27" s="133"/>
      <c r="F27" s="62">
        <f>45900+30000</f>
        <v>75900</v>
      </c>
      <c r="G27" s="94"/>
      <c r="H27" s="62">
        <f>F27*2</f>
        <v>151800</v>
      </c>
      <c r="I27" s="113"/>
      <c r="J27" s="113"/>
      <c r="K27" s="22"/>
      <c r="L27" s="22"/>
      <c r="M27" s="22"/>
      <c r="N27" s="22"/>
      <c r="O27" s="22"/>
      <c r="P27" s="21" t="s">
        <v>4</v>
      </c>
      <c r="Q27" s="21" t="s">
        <v>4</v>
      </c>
      <c r="R27" s="112"/>
      <c r="S27" s="112"/>
      <c r="T27" s="20"/>
      <c r="U27" s="10"/>
      <c r="V27" s="10"/>
      <c r="W27" s="10"/>
    </row>
    <row r="28" spans="1:26" ht="40.25" customHeight="1">
      <c r="A28" s="122" t="s">
        <v>21</v>
      </c>
      <c r="B28" s="44" t="s">
        <v>102</v>
      </c>
      <c r="C28" s="130"/>
      <c r="D28" s="130"/>
      <c r="E28" s="130"/>
      <c r="F28" s="55"/>
      <c r="G28" s="96"/>
      <c r="H28" s="55">
        <f>F28*2</f>
        <v>0</v>
      </c>
      <c r="I28" s="63"/>
      <c r="J28" s="63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 t="s">
        <v>4</v>
      </c>
      <c r="W28" s="51"/>
    </row>
    <row r="29" spans="1:26" ht="46.75" customHeight="1">
      <c r="A29" s="123"/>
      <c r="B29" s="24" t="s">
        <v>7</v>
      </c>
      <c r="C29" s="45"/>
      <c r="D29" s="45"/>
      <c r="E29" s="45"/>
      <c r="F29" s="25">
        <f>SUM(F14:F27)</f>
        <v>4270552.2</v>
      </c>
      <c r="G29" s="25"/>
      <c r="H29" s="25">
        <f t="shared" ref="H29" si="4">F29*2</f>
        <v>8541104.4000000004</v>
      </c>
      <c r="I29" s="10"/>
      <c r="J29" s="1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W29" s="10"/>
    </row>
    <row r="30" spans="1:26" ht="43.75" customHeight="1" thickBot="1">
      <c r="A30" s="124"/>
      <c r="B30" s="26" t="s">
        <v>5</v>
      </c>
      <c r="C30" s="46"/>
      <c r="D30" s="46"/>
      <c r="E30" s="46"/>
      <c r="F30" s="27">
        <f>H30/2</f>
        <v>6529447.7999999998</v>
      </c>
      <c r="G30" s="27"/>
      <c r="H30" s="27">
        <f>H31-H29</f>
        <v>13058895.6</v>
      </c>
      <c r="I30" s="11"/>
      <c r="J30" s="1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3"/>
    </row>
    <row r="31" spans="1:26" ht="17" thickBot="1">
      <c r="A31" s="59"/>
      <c r="B31" s="28" t="s">
        <v>6</v>
      </c>
      <c r="C31" s="47"/>
      <c r="D31" s="47"/>
      <c r="E31" s="47"/>
      <c r="F31" s="29">
        <f>F29+F30</f>
        <v>10800000</v>
      </c>
      <c r="G31" s="29"/>
      <c r="H31" s="29">
        <v>21600000</v>
      </c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</row>
    <row r="32" spans="1:26" ht="16" thickBot="1">
      <c r="A32" s="59"/>
      <c r="B32" s="16"/>
      <c r="C32" s="16"/>
      <c r="D32" s="16"/>
      <c r="E32" s="16"/>
      <c r="F32" s="17"/>
      <c r="G32" s="17"/>
      <c r="H32" s="17"/>
      <c r="I32" s="18"/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43.25" customHeight="1" thickBot="1">
      <c r="A33" s="59"/>
      <c r="B33" s="15"/>
      <c r="C33" s="15"/>
      <c r="D33" s="15"/>
      <c r="E33" s="15"/>
      <c r="F33" s="15"/>
      <c r="G33" s="15"/>
      <c r="H33" s="15"/>
      <c r="I33" s="40" t="s">
        <v>23</v>
      </c>
      <c r="J33" s="65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43.25" customHeight="1" thickBot="1">
      <c r="A34" s="59"/>
      <c r="B34" s="15"/>
      <c r="C34" s="15"/>
      <c r="D34" s="15"/>
      <c r="E34" s="15"/>
      <c r="F34" s="15"/>
      <c r="G34" s="15"/>
      <c r="H34" s="15"/>
      <c r="I34" s="41" t="s">
        <v>24</v>
      </c>
      <c r="J34" s="66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3"/>
    </row>
    <row r="35" spans="1:23">
      <c r="B35" s="7"/>
      <c r="C35" s="7"/>
      <c r="D35" s="7"/>
      <c r="E35" s="7"/>
      <c r="F35" s="3"/>
      <c r="G35" s="3"/>
      <c r="H35" s="3"/>
      <c r="I35" s="3"/>
      <c r="J35" s="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3"/>
    </row>
    <row r="36" spans="1:23">
      <c r="K36" s="1"/>
    </row>
    <row r="37" spans="1:23">
      <c r="B37" s="5"/>
      <c r="C37" s="5"/>
      <c r="D37" s="5"/>
      <c r="E37" s="5"/>
      <c r="F37" t="s">
        <v>13</v>
      </c>
    </row>
    <row r="38" spans="1:23">
      <c r="B38" s="6"/>
      <c r="C38" s="6"/>
      <c r="D38" s="6"/>
      <c r="E38" s="6"/>
      <c r="F38" t="s">
        <v>8</v>
      </c>
    </row>
    <row r="40" spans="1:23">
      <c r="F40" s="74" t="s">
        <v>51</v>
      </c>
      <c r="G40" s="74"/>
    </row>
    <row r="41" spans="1:23">
      <c r="B41" s="73" t="s">
        <v>45</v>
      </c>
      <c r="C41" s="73">
        <f>C42+C44+C45+C46+C47</f>
        <v>197990</v>
      </c>
      <c r="D41" s="73"/>
      <c r="F41">
        <v>215768</v>
      </c>
    </row>
    <row r="42" spans="1:23">
      <c r="B42" t="s">
        <v>46</v>
      </c>
      <c r="C42">
        <f>C43-C44</f>
        <v>18716</v>
      </c>
    </row>
    <row r="43" spans="1:23">
      <c r="B43" s="72" t="s">
        <v>49</v>
      </c>
      <c r="C43">
        <f>150990</f>
        <v>150990</v>
      </c>
    </row>
    <row r="44" spans="1:23">
      <c r="B44" s="72" t="s">
        <v>50</v>
      </c>
      <c r="C44">
        <f>135401-620-2507</f>
        <v>132274</v>
      </c>
    </row>
    <row r="45" spans="1:23">
      <c r="B45" s="72" t="s">
        <v>47</v>
      </c>
      <c r="C45">
        <v>22000</v>
      </c>
      <c r="F45" s="1"/>
      <c r="G45" s="1"/>
    </row>
    <row r="46" spans="1:23">
      <c r="B46" s="72" t="s">
        <v>48</v>
      </c>
      <c r="C46">
        <v>10000</v>
      </c>
    </row>
    <row r="47" spans="1:23">
      <c r="B47" s="72" t="s">
        <v>52</v>
      </c>
      <c r="C47">
        <v>15000</v>
      </c>
    </row>
    <row r="48" spans="1:23">
      <c r="F48" s="3"/>
      <c r="G48" s="3"/>
    </row>
    <row r="49" spans="2:8">
      <c r="B49" s="75" t="s">
        <v>53</v>
      </c>
      <c r="C49" s="76">
        <f>SUM(C50:C53)*0.8</f>
        <v>148119.20000000001</v>
      </c>
      <c r="D49" s="74" t="s">
        <v>85</v>
      </c>
      <c r="F49" s="77">
        <v>241879</v>
      </c>
      <c r="G49" s="77"/>
      <c r="H49" s="1"/>
    </row>
    <row r="50" spans="2:8">
      <c r="B50" s="72" t="s">
        <v>54</v>
      </c>
      <c r="C50">
        <v>99234</v>
      </c>
      <c r="D50" s="74" t="s">
        <v>83</v>
      </c>
      <c r="F50" s="3"/>
      <c r="G50" s="3"/>
    </row>
    <row r="51" spans="2:8">
      <c r="B51" s="72" t="s">
        <v>56</v>
      </c>
      <c r="C51">
        <v>60991</v>
      </c>
      <c r="D51" s="74" t="s">
        <v>84</v>
      </c>
    </row>
    <row r="52" spans="2:8">
      <c r="B52" s="72" t="s">
        <v>55</v>
      </c>
      <c r="C52">
        <v>9493</v>
      </c>
    </row>
    <row r="53" spans="2:8">
      <c r="B53" s="72" t="s">
        <v>57</v>
      </c>
      <c r="C53">
        <v>15431</v>
      </c>
    </row>
    <row r="55" spans="2:8">
      <c r="B55" s="73" t="s">
        <v>58</v>
      </c>
      <c r="C55" s="73"/>
      <c r="D55" s="103">
        <f>SUM(D56:D59)</f>
        <v>513634</v>
      </c>
      <c r="E55" s="73" t="s">
        <v>107</v>
      </c>
      <c r="F55" s="3">
        <v>570974</v>
      </c>
      <c r="G55" s="3"/>
      <c r="H55" t="s">
        <v>106</v>
      </c>
    </row>
    <row r="56" spans="2:8" ht="41.25" customHeight="1">
      <c r="B56" s="78" t="s">
        <v>82</v>
      </c>
      <c r="C56" s="89" t="s">
        <v>112</v>
      </c>
      <c r="D56" s="99">
        <v>207571</v>
      </c>
      <c r="E56" s="102">
        <v>172773</v>
      </c>
      <c r="G56" s="100"/>
      <c r="H56" t="s">
        <v>105</v>
      </c>
    </row>
    <row r="57" spans="2:8" ht="43.5" customHeight="1">
      <c r="B57" s="78" t="s">
        <v>27</v>
      </c>
      <c r="C57" s="89" t="s">
        <v>111</v>
      </c>
      <c r="D57" s="99">
        <v>169265</v>
      </c>
      <c r="E57" s="102">
        <v>134166</v>
      </c>
      <c r="F57" s="100"/>
    </row>
    <row r="58" spans="2:8" ht="32">
      <c r="B58" s="78" t="s">
        <v>29</v>
      </c>
      <c r="C58" s="102" t="s">
        <v>104</v>
      </c>
      <c r="D58" s="101">
        <v>8201</v>
      </c>
      <c r="E58" s="102">
        <v>8201</v>
      </c>
      <c r="F58" s="104">
        <v>22409</v>
      </c>
      <c r="G58" s="89" t="s">
        <v>80</v>
      </c>
    </row>
    <row r="59" spans="2:8" ht="32">
      <c r="B59" s="78" t="s">
        <v>30</v>
      </c>
      <c r="C59" s="89" t="s">
        <v>81</v>
      </c>
      <c r="D59" s="99">
        <v>128597</v>
      </c>
      <c r="E59" s="102">
        <v>91935</v>
      </c>
      <c r="F59" s="104">
        <v>20816</v>
      </c>
    </row>
    <row r="60" spans="2:8">
      <c r="F60" s="3"/>
      <c r="G60" s="3"/>
    </row>
    <row r="61" spans="2:8">
      <c r="F61" s="3"/>
      <c r="G61" s="3"/>
    </row>
    <row r="62" spans="2:8">
      <c r="B62" s="73" t="s">
        <v>109</v>
      </c>
      <c r="C62" s="73"/>
      <c r="D62" s="103">
        <f>SUM(D64:D69)</f>
        <v>1459842</v>
      </c>
      <c r="E62" s="73"/>
      <c r="F62" s="3"/>
      <c r="G62" s="3"/>
      <c r="H62" t="s">
        <v>106</v>
      </c>
    </row>
    <row r="63" spans="2:8">
      <c r="H63" t="s">
        <v>105</v>
      </c>
    </row>
    <row r="64" spans="2:8" ht="16">
      <c r="B64" s="78" t="s">
        <v>31</v>
      </c>
      <c r="C64" s="105" t="s">
        <v>91</v>
      </c>
      <c r="D64" s="99">
        <v>222864</v>
      </c>
      <c r="F64" s="1"/>
    </row>
    <row r="65" spans="2:4" ht="16">
      <c r="B65" s="78" t="s">
        <v>32</v>
      </c>
      <c r="C65" s="105" t="s">
        <v>92</v>
      </c>
      <c r="D65" s="99">
        <v>114246</v>
      </c>
    </row>
    <row r="66" spans="2:4" ht="16">
      <c r="B66" s="78" t="s">
        <v>33</v>
      </c>
      <c r="C66" s="105" t="s">
        <v>93</v>
      </c>
      <c r="D66" s="99">
        <v>93004</v>
      </c>
    </row>
    <row r="67" spans="2:4" ht="16">
      <c r="B67" s="78" t="s">
        <v>34</v>
      </c>
      <c r="C67" s="78" t="s">
        <v>94</v>
      </c>
      <c r="D67" s="101">
        <v>4222</v>
      </c>
    </row>
    <row r="68" spans="2:4" ht="16">
      <c r="B68" s="78" t="s">
        <v>101</v>
      </c>
      <c r="C68" s="105" t="s">
        <v>95</v>
      </c>
      <c r="D68" s="99">
        <v>392959</v>
      </c>
    </row>
    <row r="69" spans="2:4" ht="16">
      <c r="B69" s="78" t="s">
        <v>35</v>
      </c>
      <c r="C69" s="105" t="s">
        <v>96</v>
      </c>
      <c r="D69" s="99">
        <v>632547</v>
      </c>
    </row>
  </sheetData>
  <mergeCells count="60">
    <mergeCell ref="W21:W26"/>
    <mergeCell ref="Q21:Q26"/>
    <mergeCell ref="U21:U26"/>
    <mergeCell ref="V21:V26"/>
    <mergeCell ref="I21:I26"/>
    <mergeCell ref="K21:K26"/>
    <mergeCell ref="L21:L26"/>
    <mergeCell ref="M21:M26"/>
    <mergeCell ref="N21:N26"/>
    <mergeCell ref="J21:J26"/>
    <mergeCell ref="O21:O26"/>
    <mergeCell ref="P21:P26"/>
    <mergeCell ref="R21:R26"/>
    <mergeCell ref="S21:S26"/>
    <mergeCell ref="T21:T26"/>
    <mergeCell ref="O16:O19"/>
    <mergeCell ref="P16:P19"/>
    <mergeCell ref="Q16:Q19"/>
    <mergeCell ref="R16:R19"/>
    <mergeCell ref="S16:S19"/>
    <mergeCell ref="L16:L19"/>
    <mergeCell ref="M16:M19"/>
    <mergeCell ref="N16:N19"/>
    <mergeCell ref="J13:J14"/>
    <mergeCell ref="K13:K14"/>
    <mergeCell ref="L13:L14"/>
    <mergeCell ref="M13:M14"/>
    <mergeCell ref="N13:N14"/>
    <mergeCell ref="F21:F26"/>
    <mergeCell ref="H21:H26"/>
    <mergeCell ref="C14:E14"/>
    <mergeCell ref="C20:E20"/>
    <mergeCell ref="G16:G19"/>
    <mergeCell ref="G21:G26"/>
    <mergeCell ref="T16:T19"/>
    <mergeCell ref="U16:U19"/>
    <mergeCell ref="V16:V19"/>
    <mergeCell ref="W16:W19"/>
    <mergeCell ref="A28:A30"/>
    <mergeCell ref="I16:I19"/>
    <mergeCell ref="J16:J19"/>
    <mergeCell ref="K16:K19"/>
    <mergeCell ref="A14:A19"/>
    <mergeCell ref="A20:A27"/>
    <mergeCell ref="B16:B19"/>
    <mergeCell ref="F16:F19"/>
    <mergeCell ref="C28:E28"/>
    <mergeCell ref="C27:E27"/>
    <mergeCell ref="H16:H19"/>
    <mergeCell ref="B21:B26"/>
    <mergeCell ref="T13:T14"/>
    <mergeCell ref="U13:U14"/>
    <mergeCell ref="V13:V14"/>
    <mergeCell ref="W13:W14"/>
    <mergeCell ref="I13:I14"/>
    <mergeCell ref="O13:O14"/>
    <mergeCell ref="P13:P14"/>
    <mergeCell ref="Q13:Q14"/>
    <mergeCell ref="R13:R14"/>
    <mergeCell ref="S13:S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1"/>
  <sheetViews>
    <sheetView workbookViewId="0">
      <selection activeCell="B29" sqref="B29"/>
    </sheetView>
  </sheetViews>
  <sheetFormatPr baseColWidth="10" defaultColWidth="8.83203125" defaultRowHeight="15"/>
  <cols>
    <col min="2" max="2" width="33.5" bestFit="1" customWidth="1"/>
    <col min="3" max="3" width="16.5" customWidth="1"/>
  </cols>
  <sheetData>
    <row r="2" spans="1:3">
      <c r="B2" t="s">
        <v>79</v>
      </c>
    </row>
    <row r="3" spans="1:3">
      <c r="B3" s="166" t="s">
        <v>59</v>
      </c>
      <c r="C3" s="166"/>
    </row>
    <row r="4" spans="1:3">
      <c r="A4" s="167" t="s">
        <v>60</v>
      </c>
      <c r="B4" s="79" t="s">
        <v>61</v>
      </c>
      <c r="C4" s="79">
        <v>5759</v>
      </c>
    </row>
    <row r="5" spans="1:3">
      <c r="A5" s="167"/>
      <c r="B5" s="79" t="s">
        <v>62</v>
      </c>
      <c r="C5" s="79">
        <v>7262</v>
      </c>
    </row>
    <row r="6" spans="1:3">
      <c r="A6" s="167"/>
      <c r="B6" s="79" t="s">
        <v>48</v>
      </c>
      <c r="C6" s="79">
        <v>2104</v>
      </c>
    </row>
    <row r="7" spans="1:3">
      <c r="A7" s="167"/>
      <c r="B7" s="79" t="s">
        <v>63</v>
      </c>
      <c r="C7" s="79">
        <v>1746</v>
      </c>
    </row>
    <row r="8" spans="1:3">
      <c r="A8" s="167" t="s">
        <v>64</v>
      </c>
      <c r="B8" s="79" t="s">
        <v>65</v>
      </c>
      <c r="C8" s="79">
        <v>19596</v>
      </c>
    </row>
    <row r="9" spans="1:3">
      <c r="A9" s="167"/>
      <c r="B9" s="79" t="s">
        <v>66</v>
      </c>
      <c r="C9" s="79">
        <v>9859</v>
      </c>
    </row>
    <row r="10" spans="1:3">
      <c r="A10" s="167"/>
      <c r="B10" s="79" t="s">
        <v>67</v>
      </c>
      <c r="C10" s="79">
        <v>47492</v>
      </c>
    </row>
    <row r="11" spans="1:3">
      <c r="A11" s="167"/>
      <c r="B11" s="79" t="s">
        <v>68</v>
      </c>
      <c r="C11" s="79">
        <v>1728</v>
      </c>
    </row>
    <row r="12" spans="1:3">
      <c r="A12" s="167"/>
      <c r="B12" s="80" t="s">
        <v>69</v>
      </c>
      <c r="C12" s="79">
        <v>9052</v>
      </c>
    </row>
    <row r="13" spans="1:3">
      <c r="A13" s="167"/>
      <c r="B13" s="81" t="s">
        <v>70</v>
      </c>
      <c r="C13" s="82">
        <v>17051</v>
      </c>
    </row>
    <row r="14" spans="1:3">
      <c r="A14" s="167"/>
      <c r="B14" s="80" t="s">
        <v>71</v>
      </c>
      <c r="C14" s="79">
        <v>29244</v>
      </c>
    </row>
    <row r="15" spans="1:3">
      <c r="A15" s="167"/>
      <c r="B15" s="80" t="s">
        <v>72</v>
      </c>
      <c r="C15" s="79">
        <v>4638</v>
      </c>
    </row>
    <row r="16" spans="1:3">
      <c r="A16" s="121"/>
      <c r="B16" s="79" t="s">
        <v>73</v>
      </c>
      <c r="C16" s="83">
        <v>13478</v>
      </c>
    </row>
    <row r="17" spans="1:3">
      <c r="A17" s="121"/>
      <c r="B17" s="79" t="s">
        <v>74</v>
      </c>
      <c r="C17" s="84">
        <v>10000</v>
      </c>
    </row>
    <row r="18" spans="1:3">
      <c r="A18" s="121"/>
      <c r="B18" s="79" t="s">
        <v>75</v>
      </c>
      <c r="C18" s="85">
        <v>750</v>
      </c>
    </row>
    <row r="19" spans="1:3">
      <c r="A19" s="121"/>
      <c r="B19" s="79" t="s">
        <v>76</v>
      </c>
      <c r="C19" s="83">
        <v>15000</v>
      </c>
    </row>
    <row r="20" spans="1:3">
      <c r="A20" s="121"/>
      <c r="B20" s="79" t="s">
        <v>77</v>
      </c>
      <c r="C20" s="79">
        <v>22000</v>
      </c>
    </row>
    <row r="21" spans="1:3">
      <c r="A21" s="79" t="s">
        <v>78</v>
      </c>
      <c r="B21" s="79"/>
      <c r="C21" s="85">
        <f>SUM(C4:C20)-C13</f>
        <v>199708</v>
      </c>
    </row>
  </sheetData>
  <mergeCells count="4">
    <mergeCell ref="B3:C3"/>
    <mergeCell ref="A4:A7"/>
    <mergeCell ref="A8:A15"/>
    <mergeCell ref="A16:A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17FF1B33948644969ABEF4E5F91B28" ma:contentTypeVersion="11" ma:contentTypeDescription="Criar um novo documento." ma:contentTypeScope="" ma:versionID="35fd4eb9e7b582363d6d62fc0ecaea4b">
  <xsd:schema xmlns:xsd="http://www.w3.org/2001/XMLSchema" xmlns:xs="http://www.w3.org/2001/XMLSchema" xmlns:p="http://schemas.microsoft.com/office/2006/metadata/properties" xmlns:ns2="e0452630-121c-4b85-bc00-0c69637e96f3" xmlns:ns3="0558a97c-fca6-4597-ab21-07835d17a529" targetNamespace="http://schemas.microsoft.com/office/2006/metadata/properties" ma:root="true" ma:fieldsID="2c0a20ba25fb0866ce3619cf23731019" ns2:_="" ns3:_="">
    <xsd:import namespace="e0452630-121c-4b85-bc00-0c69637e96f3"/>
    <xsd:import namespace="0558a97c-fca6-4597-ab21-07835d17a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2630-121c-4b85-bc00-0c69637e9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8a97c-fca6-4597-ab21-07835d17a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EA4038-F866-4BC4-8F02-C5075632E6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BFA8FA-261B-42DC-B546-BE0AFD5E7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452630-121c-4b85-bc00-0c69637e96f3"/>
    <ds:schemaRef ds:uri="0558a97c-fca6-4597-ab21-07835d17a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61F86-EFE3-4BCF-BF20-89C797E91BE1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9cc070fe-ee9e-4630-962a-d9641af912a5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Cenário 2</vt:lpstr>
      <vt:lpstr>Cálculo de Profissionais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Furtado</dc:creator>
  <cp:lastModifiedBy>Microsoft Office User</cp:lastModifiedBy>
  <cp:lastPrinted>2020-11-25T14:49:41Z</cp:lastPrinted>
  <dcterms:created xsi:type="dcterms:W3CDTF">2020-10-16T09:56:02Z</dcterms:created>
  <dcterms:modified xsi:type="dcterms:W3CDTF">2021-01-27T23:12:45Z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0x0101003A17FF1B33948644969ABEF4E5F91B28</vt:lpwstr>
  </property>
</Properties>
</file>