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lyskawa/Desktop/"/>
    </mc:Choice>
  </mc:AlternateContent>
  <xr:revisionPtr revIDLastSave="0" documentId="13_ncr:1_{8555CC36-79B9-AF41-B1B2-7DABF0CC8505}" xr6:coauthVersionLast="47" xr6:coauthVersionMax="47" xr10:uidLastSave="{00000000-0000-0000-0000-000000000000}"/>
  <bookViews>
    <workbookView xWindow="0" yWindow="500" windowWidth="28800" windowHeight="15880" activeTab="6" xr2:uid="{CE745480-8E88-2846-BBEE-18A361ED90F4}"/>
  </bookViews>
  <sheets>
    <sheet name="prad" sheetId="1" r:id="rId1"/>
    <sheet name="termometr" sheetId="2" r:id="rId2"/>
    <sheet name="DoLatexa" sheetId="6" r:id="rId3"/>
    <sheet name="megatron" sheetId="9" r:id="rId4"/>
    <sheet name="termoGRZALA" sheetId="7" r:id="rId5"/>
    <sheet name="GRZAŁA" sheetId="4" r:id="rId6"/>
    <sheet name="CO NA GRZAŁE WARIACI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9" l="1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R5" i="9"/>
  <c r="S27" i="9"/>
  <c r="R27" i="9"/>
  <c r="E5" i="9"/>
  <c r="Q5" i="9"/>
  <c r="O5" i="9" s="1"/>
  <c r="N5" i="9"/>
  <c r="AG24" i="9" a="1"/>
  <c r="AG24" i="9" s="1"/>
  <c r="I5" i="9"/>
  <c r="J6" i="9" s="1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5" i="9"/>
  <c r="AH18" i="9" a="1"/>
  <c r="AH18" i="9" s="1"/>
  <c r="Q5" i="7"/>
  <c r="L28" i="7"/>
  <c r="K28" i="7"/>
  <c r="H28" i="7"/>
  <c r="J28" i="7"/>
  <c r="I28" i="7"/>
  <c r="G28" i="7"/>
  <c r="P5" i="7"/>
  <c r="P6" i="7"/>
  <c r="P7" i="7"/>
  <c r="P8" i="7"/>
  <c r="P9" i="7"/>
  <c r="G30" i="7" s="1" a="1"/>
  <c r="G30" i="7" s="1"/>
  <c r="P10" i="7"/>
  <c r="P11" i="7"/>
  <c r="P12" i="7"/>
  <c r="I24" i="7"/>
  <c r="I18" i="7"/>
  <c r="I19" i="7"/>
  <c r="I20" i="7"/>
  <c r="I21" i="7"/>
  <c r="I22" i="7"/>
  <c r="I23" i="7"/>
  <c r="I17" i="7"/>
  <c r="K18" i="7"/>
  <c r="K19" i="7"/>
  <c r="K20" i="7"/>
  <c r="K21" i="7"/>
  <c r="K22" i="7"/>
  <c r="K23" i="7"/>
  <c r="K24" i="7"/>
  <c r="K17" i="7"/>
  <c r="M5" i="7"/>
  <c r="L12" i="7"/>
  <c r="L6" i="7"/>
  <c r="L7" i="7"/>
  <c r="L8" i="7"/>
  <c r="L9" i="7"/>
  <c r="L10" i="7"/>
  <c r="L11" i="7"/>
  <c r="L5" i="7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H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99" i="2"/>
  <c r="K42" i="2"/>
  <c r="M42" i="2"/>
  <c r="P42" i="2"/>
  <c r="W42" i="2"/>
  <c r="X42" i="2"/>
  <c r="Y42" i="2"/>
  <c r="Z42" i="2"/>
  <c r="AA42" i="2"/>
  <c r="K43" i="2"/>
  <c r="M43" i="2"/>
  <c r="W43" i="2"/>
  <c r="K44" i="2"/>
  <c r="M44" i="2"/>
  <c r="W44" i="2"/>
  <c r="K45" i="2"/>
  <c r="M45" i="2"/>
  <c r="W45" i="2"/>
  <c r="K46" i="2"/>
  <c r="M46" i="2"/>
  <c r="W46" i="2"/>
  <c r="K47" i="2"/>
  <c r="M47" i="2"/>
  <c r="W47" i="2"/>
  <c r="K48" i="2"/>
  <c r="M48" i="2"/>
  <c r="W48" i="2"/>
  <c r="K49" i="2"/>
  <c r="M49" i="2"/>
  <c r="W49" i="2"/>
  <c r="K50" i="2"/>
  <c r="M50" i="2"/>
  <c r="W50" i="2"/>
  <c r="K51" i="2"/>
  <c r="M51" i="2"/>
  <c r="W51" i="2"/>
  <c r="K52" i="2"/>
  <c r="M52" i="2"/>
  <c r="W52" i="2"/>
  <c r="K53" i="2"/>
  <c r="M53" i="2"/>
  <c r="W53" i="2"/>
  <c r="K54" i="2"/>
  <c r="M54" i="2"/>
  <c r="W54" i="2"/>
  <c r="K55" i="2"/>
  <c r="M55" i="2"/>
  <c r="W55" i="2"/>
  <c r="K56" i="2"/>
  <c r="M56" i="2"/>
  <c r="W56" i="2"/>
  <c r="W57" i="2"/>
  <c r="W58" i="2"/>
  <c r="W59" i="2"/>
  <c r="L60" i="2"/>
  <c r="M60" i="2"/>
  <c r="N60" i="2"/>
  <c r="P60" i="2" s="1"/>
  <c r="O60" i="2"/>
  <c r="Q60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J78" i="2"/>
  <c r="L78" i="2"/>
  <c r="M78" i="2"/>
  <c r="W78" i="2"/>
  <c r="W79" i="2"/>
  <c r="J80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S20" i="5"/>
  <c r="W20" i="5" s="1"/>
  <c r="O35" i="5"/>
  <c r="P35" i="5" s="1"/>
  <c r="Q32" i="5"/>
  <c r="J32" i="5"/>
  <c r="J31" i="5"/>
  <c r="O32" i="5"/>
  <c r="P32" i="5" s="1"/>
  <c r="X40" i="5" a="1"/>
  <c r="X40" i="5" s="1"/>
  <c r="W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8" i="5"/>
  <c r="V8" i="4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8" i="5"/>
  <c r="L8" i="5"/>
  <c r="K8" i="5"/>
  <c r="U28" i="5"/>
  <c r="T28" i="5"/>
  <c r="S28" i="5"/>
  <c r="W28" i="5" s="1"/>
  <c r="W27" i="5"/>
  <c r="U27" i="5"/>
  <c r="T27" i="5"/>
  <c r="S27" i="5"/>
  <c r="U26" i="5"/>
  <c r="T26" i="5"/>
  <c r="S26" i="5"/>
  <c r="W26" i="5" s="1"/>
  <c r="U25" i="5"/>
  <c r="T25" i="5"/>
  <c r="S25" i="5"/>
  <c r="W25" i="5" s="1"/>
  <c r="U24" i="5"/>
  <c r="T24" i="5"/>
  <c r="S24" i="5"/>
  <c r="W24" i="5" s="1"/>
  <c r="U23" i="5"/>
  <c r="T23" i="5"/>
  <c r="S23" i="5"/>
  <c r="W23" i="5" s="1"/>
  <c r="U22" i="5"/>
  <c r="T22" i="5"/>
  <c r="S22" i="5"/>
  <c r="W22" i="5" s="1"/>
  <c r="U21" i="5"/>
  <c r="T21" i="5"/>
  <c r="S21" i="5"/>
  <c r="W21" i="5" s="1"/>
  <c r="U20" i="5"/>
  <c r="T20" i="5"/>
  <c r="W19" i="5"/>
  <c r="U19" i="5"/>
  <c r="T19" i="5"/>
  <c r="S19" i="5"/>
  <c r="U18" i="5"/>
  <c r="T18" i="5"/>
  <c r="S18" i="5"/>
  <c r="W18" i="5" s="1"/>
  <c r="W17" i="5"/>
  <c r="U17" i="5"/>
  <c r="T17" i="5"/>
  <c r="S17" i="5"/>
  <c r="U16" i="5"/>
  <c r="T16" i="5"/>
  <c r="S16" i="5"/>
  <c r="W16" i="5" s="1"/>
  <c r="W15" i="5"/>
  <c r="U15" i="5"/>
  <c r="T15" i="5"/>
  <c r="S15" i="5"/>
  <c r="U14" i="5"/>
  <c r="T14" i="5"/>
  <c r="S14" i="5"/>
  <c r="W14" i="5" s="1"/>
  <c r="U13" i="5"/>
  <c r="T13" i="5"/>
  <c r="S13" i="5"/>
  <c r="W13" i="5" s="1"/>
  <c r="U12" i="5"/>
  <c r="T12" i="5"/>
  <c r="S12" i="5"/>
  <c r="W12" i="5" s="1"/>
  <c r="U11" i="5"/>
  <c r="T11" i="5"/>
  <c r="S11" i="5"/>
  <c r="W11" i="5" s="1"/>
  <c r="U10" i="5"/>
  <c r="T10" i="5"/>
  <c r="S10" i="5"/>
  <c r="W10" i="5" s="1"/>
  <c r="W9" i="5"/>
  <c r="U9" i="5"/>
  <c r="T9" i="5"/>
  <c r="S9" i="5"/>
  <c r="U8" i="5"/>
  <c r="T8" i="5"/>
  <c r="S8" i="5"/>
  <c r="D8" i="5"/>
  <c r="Q32" i="4"/>
  <c r="O32" i="4"/>
  <c r="P32" i="4" s="1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8" i="4"/>
  <c r="W9" i="4"/>
  <c r="W13" i="4"/>
  <c r="W14" i="4"/>
  <c r="W16" i="4"/>
  <c r="W17" i="4"/>
  <c r="W21" i="4"/>
  <c r="W22" i="4"/>
  <c r="W24" i="4"/>
  <c r="W25" i="4"/>
  <c r="W8" i="4"/>
  <c r="S9" i="4"/>
  <c r="S10" i="4"/>
  <c r="W10" i="4" s="1"/>
  <c r="S11" i="4"/>
  <c r="W11" i="4" s="1"/>
  <c r="S12" i="4"/>
  <c r="W12" i="4" s="1"/>
  <c r="S13" i="4"/>
  <c r="S14" i="4"/>
  <c r="S15" i="4"/>
  <c r="W15" i="4" s="1"/>
  <c r="S16" i="4"/>
  <c r="S17" i="4"/>
  <c r="S18" i="4"/>
  <c r="W18" i="4" s="1"/>
  <c r="S19" i="4"/>
  <c r="W19" i="4" s="1"/>
  <c r="S20" i="4"/>
  <c r="W20" i="4" s="1"/>
  <c r="S21" i="4"/>
  <c r="S22" i="4"/>
  <c r="S23" i="4"/>
  <c r="W23" i="4" s="1"/>
  <c r="S24" i="4"/>
  <c r="S25" i="4"/>
  <c r="S26" i="4"/>
  <c r="W26" i="4" s="1"/>
  <c r="S27" i="4"/>
  <c r="W27" i="4" s="1"/>
  <c r="S28" i="4"/>
  <c r="W28" i="4" s="1"/>
  <c r="S8" i="4"/>
  <c r="G32" i="4"/>
  <c r="D8" i="4"/>
  <c r="F32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8" i="4"/>
  <c r="T9" i="4"/>
  <c r="V9" i="4" s="1"/>
  <c r="T10" i="4"/>
  <c r="V10" i="4" s="1"/>
  <c r="T11" i="4"/>
  <c r="V11" i="4" s="1"/>
  <c r="T12" i="4"/>
  <c r="V12" i="4" s="1"/>
  <c r="T13" i="4"/>
  <c r="V13" i="4" s="1"/>
  <c r="T14" i="4"/>
  <c r="V14" i="4" s="1"/>
  <c r="T15" i="4"/>
  <c r="V15" i="4" s="1"/>
  <c r="T16" i="4"/>
  <c r="V16" i="4" s="1"/>
  <c r="T17" i="4"/>
  <c r="V17" i="4" s="1"/>
  <c r="T18" i="4"/>
  <c r="V18" i="4" s="1"/>
  <c r="T19" i="4"/>
  <c r="V19" i="4" s="1"/>
  <c r="T20" i="4"/>
  <c r="V20" i="4" s="1"/>
  <c r="T21" i="4"/>
  <c r="V21" i="4" s="1"/>
  <c r="T22" i="4"/>
  <c r="V22" i="4" s="1"/>
  <c r="T23" i="4"/>
  <c r="V23" i="4" s="1"/>
  <c r="T24" i="4"/>
  <c r="V24" i="4" s="1"/>
  <c r="T25" i="4"/>
  <c r="V25" i="4" s="1"/>
  <c r="T26" i="4"/>
  <c r="V26" i="4" s="1"/>
  <c r="T27" i="4"/>
  <c r="V27" i="4" s="1"/>
  <c r="T28" i="4"/>
  <c r="V28" i="4" s="1"/>
  <c r="T8" i="4"/>
  <c r="H83" i="2"/>
  <c r="C24" i="2" a="1"/>
  <c r="C24" i="2" s="1"/>
  <c r="F16" i="1"/>
  <c r="F21" i="1"/>
  <c r="F20" i="1"/>
  <c r="F19" i="1"/>
  <c r="F18" i="1"/>
  <c r="F17" i="1"/>
  <c r="G8" i="1"/>
  <c r="B35" i="1" a="1"/>
  <c r="B35" i="1" s="1"/>
  <c r="N35" i="1"/>
  <c r="I17" i="1"/>
  <c r="I18" i="1"/>
  <c r="I19" i="1"/>
  <c r="I20" i="1"/>
  <c r="I21" i="1"/>
  <c r="I16" i="1"/>
  <c r="X20" i="1"/>
  <c r="X21" i="1"/>
  <c r="X22" i="1"/>
  <c r="X23" i="1"/>
  <c r="X24" i="1"/>
  <c r="X19" i="1"/>
  <c r="W20" i="1"/>
  <c r="W21" i="1"/>
  <c r="W22" i="1"/>
  <c r="W23" i="1"/>
  <c r="W24" i="1"/>
  <c r="W19" i="1"/>
  <c r="H17" i="1"/>
  <c r="H18" i="1"/>
  <c r="H19" i="1"/>
  <c r="H20" i="1"/>
  <c r="H21" i="1"/>
  <c r="H16" i="1"/>
  <c r="E8" i="1"/>
  <c r="I8" i="1"/>
  <c r="J26" i="9" l="1"/>
  <c r="J37" i="9"/>
  <c r="J29" i="9"/>
  <c r="J21" i="9"/>
  <c r="J13" i="9"/>
  <c r="J36" i="9"/>
  <c r="J28" i="9"/>
  <c r="J20" i="9"/>
  <c r="J12" i="9"/>
  <c r="J11" i="9"/>
  <c r="J5" i="9"/>
  <c r="J27" i="9"/>
  <c r="J34" i="9"/>
  <c r="J41" i="9"/>
  <c r="J33" i="9"/>
  <c r="J17" i="9"/>
  <c r="J40" i="9"/>
  <c r="J32" i="9"/>
  <c r="J24" i="9"/>
  <c r="J16" i="9"/>
  <c r="J8" i="9"/>
  <c r="J19" i="9"/>
  <c r="J10" i="9"/>
  <c r="J9" i="9"/>
  <c r="J39" i="9"/>
  <c r="J31" i="9"/>
  <c r="J23" i="9"/>
  <c r="J15" i="9"/>
  <c r="J7" i="9"/>
  <c r="J35" i="9"/>
  <c r="J18" i="9"/>
  <c r="J25" i="9"/>
  <c r="J38" i="9"/>
  <c r="J30" i="9"/>
  <c r="J22" i="9"/>
  <c r="J14" i="9"/>
  <c r="AB42" i="2"/>
  <c r="H90" i="2"/>
  <c r="H89" i="2"/>
  <c r="H88" i="2"/>
  <c r="H87" i="2"/>
  <c r="H94" i="2"/>
  <c r="H86" i="2"/>
  <c r="H93" i="2"/>
  <c r="H82" i="2"/>
  <c r="H92" i="2"/>
  <c r="H81" i="2"/>
  <c r="H91" i="2"/>
  <c r="H85" i="2"/>
  <c r="H80" i="2"/>
  <c r="H84" i="2"/>
  <c r="H95" i="2"/>
  <c r="K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<sst xmlns="http://schemas.openxmlformats.org/spreadsheetml/2006/main" count="302" uniqueCount="143">
  <si>
    <t>Rs [Ω]</t>
  </si>
  <si>
    <t>Lp.</t>
  </si>
  <si>
    <t>U [V]</t>
  </si>
  <si>
    <t>u(U) [V]</t>
  </si>
  <si>
    <t>I [mA]</t>
  </si>
  <si>
    <t>u(I) [mA]</t>
  </si>
  <si>
    <r>
      <t>u</t>
    </r>
    <r>
      <rPr>
        <vertAlign val="subscript"/>
        <sz val="12"/>
        <color theme="1"/>
        <rFont val="Calibri (Body)"/>
      </rPr>
      <t>c</t>
    </r>
    <r>
      <rPr>
        <sz val="12"/>
        <color theme="1"/>
        <rFont val="Calibri"/>
        <family val="2"/>
        <scheme val="minor"/>
      </rPr>
      <t>(R</t>
    </r>
    <r>
      <rPr>
        <vertAlign val="subscript"/>
        <sz val="12"/>
        <color theme="1"/>
        <rFont val="Calibri (Body)"/>
      </rPr>
      <t>S</t>
    </r>
    <r>
      <rPr>
        <sz val="12"/>
        <color theme="1"/>
        <rFont val="Calibri"/>
        <family val="2"/>
        <scheme val="minor"/>
      </rPr>
      <t>) [Ω]</t>
    </r>
  </si>
  <si>
    <r>
      <t>u</t>
    </r>
    <r>
      <rPr>
        <vertAlign val="subscript"/>
        <sz val="12"/>
        <color rgb="FF00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(R</t>
    </r>
    <r>
      <rPr>
        <vertAlign val="subscript"/>
        <sz val="12"/>
        <color rgb="FF000000"/>
        <rFont val="Calibri"/>
        <family val="2"/>
        <scheme val="minor"/>
      </rPr>
      <t>S</t>
    </r>
    <r>
      <rPr>
        <sz val="12"/>
        <color rgb="FF000000"/>
        <rFont val="Calibri"/>
        <family val="2"/>
        <scheme val="minor"/>
      </rPr>
      <t>) [Ω]</t>
    </r>
  </si>
  <si>
    <t xml:space="preserve">rs = 1/a </t>
  </si>
  <si>
    <t>relinp</t>
  </si>
  <si>
    <r>
      <t>R</t>
    </r>
    <r>
      <rPr>
        <vertAlign val="subscript"/>
        <sz val="18"/>
        <color theme="1"/>
        <rFont val="Calibri (Body)"/>
      </rPr>
      <t>1</t>
    </r>
    <r>
      <rPr>
        <sz val="18"/>
        <color theme="1"/>
        <rFont val="Calibri"/>
        <family val="2"/>
        <scheme val="minor"/>
      </rPr>
      <t xml:space="preserve"> [Ω]</t>
    </r>
  </si>
  <si>
    <r>
      <t>u(R</t>
    </r>
    <r>
      <rPr>
        <vertAlign val="subscript"/>
        <sz val="18"/>
        <color theme="1"/>
        <rFont val="Calibri (Body)"/>
      </rPr>
      <t>1</t>
    </r>
    <r>
      <rPr>
        <sz val="18"/>
        <color theme="1"/>
        <rFont val="Calibri"/>
        <family val="2"/>
        <scheme val="minor"/>
      </rPr>
      <t>) [Ω]</t>
    </r>
  </si>
  <si>
    <r>
      <t>R</t>
    </r>
    <r>
      <rPr>
        <vertAlign val="subscript"/>
        <sz val="18"/>
        <color theme="1"/>
        <rFont val="Calibri (Body)"/>
      </rPr>
      <t>2</t>
    </r>
    <r>
      <rPr>
        <sz val="18"/>
        <color theme="1"/>
        <rFont val="Calibri"/>
        <family val="2"/>
        <scheme val="minor"/>
      </rPr>
      <t xml:space="preserve"> [Ω]</t>
    </r>
  </si>
  <si>
    <r>
      <t>u(R</t>
    </r>
    <r>
      <rPr>
        <vertAlign val="subscript"/>
        <sz val="18"/>
        <color theme="1"/>
        <rFont val="Calibri (Body)"/>
      </rPr>
      <t>2</t>
    </r>
    <r>
      <rPr>
        <sz val="18"/>
        <color theme="1"/>
        <rFont val="Calibri"/>
        <family val="2"/>
        <scheme val="minor"/>
      </rPr>
      <t>) [Ω]</t>
    </r>
  </si>
  <si>
    <r>
      <t>R</t>
    </r>
    <r>
      <rPr>
        <vertAlign val="subscript"/>
        <sz val="18"/>
        <color theme="1"/>
        <rFont val="Calibri (Body)"/>
      </rPr>
      <t>s</t>
    </r>
    <r>
      <rPr>
        <sz val="18"/>
        <color theme="1"/>
        <rFont val="Calibri"/>
        <family val="2"/>
        <scheme val="minor"/>
      </rPr>
      <t xml:space="preserve"> [Ω]       (zmierzone)</t>
    </r>
  </si>
  <si>
    <r>
      <t>u(R</t>
    </r>
    <r>
      <rPr>
        <vertAlign val="subscript"/>
        <sz val="18"/>
        <color theme="1"/>
        <rFont val="Calibri (Body)"/>
      </rPr>
      <t>s</t>
    </r>
    <r>
      <rPr>
        <sz val="18"/>
        <color theme="1"/>
        <rFont val="Calibri"/>
        <family val="2"/>
        <scheme val="minor"/>
      </rPr>
      <t>) [Ω]</t>
    </r>
  </si>
  <si>
    <r>
      <t>R</t>
    </r>
    <r>
      <rPr>
        <vertAlign val="subscript"/>
        <sz val="18"/>
        <color theme="1"/>
        <rFont val="Calibri (Body)"/>
      </rPr>
      <t>s</t>
    </r>
    <r>
      <rPr>
        <sz val="18"/>
        <color theme="1"/>
        <rFont val="Calibri"/>
        <family val="2"/>
        <scheme val="minor"/>
      </rPr>
      <t xml:space="preserve"> [Ω]                (obliczone ze wzoru (1))</t>
    </r>
  </si>
  <si>
    <r>
      <t>u</t>
    </r>
    <r>
      <rPr>
        <vertAlign val="subscript"/>
        <sz val="18"/>
        <color theme="1"/>
        <rFont val="Calibri (Body)"/>
      </rPr>
      <t>c</t>
    </r>
    <r>
      <rPr>
        <sz val="18"/>
        <color theme="1"/>
        <rFont val="Calibri"/>
        <family val="2"/>
        <scheme val="minor"/>
      </rPr>
      <t>(R</t>
    </r>
    <r>
      <rPr>
        <vertAlign val="subscript"/>
        <sz val="18"/>
        <color theme="1"/>
        <rFont val="Calibri (Body)"/>
      </rPr>
      <t>s</t>
    </r>
    <r>
      <rPr>
        <sz val="18"/>
        <color theme="1"/>
        <rFont val="Calibri"/>
        <family val="2"/>
        <scheme val="minor"/>
      </rPr>
      <t>) [Ω]</t>
    </r>
  </si>
  <si>
    <r>
      <t>R</t>
    </r>
    <r>
      <rPr>
        <vertAlign val="subscript"/>
        <sz val="18"/>
        <color theme="1"/>
        <rFont val="Calibri (Body)"/>
      </rPr>
      <t xml:space="preserve">r </t>
    </r>
    <r>
      <rPr>
        <sz val="18"/>
        <color theme="1"/>
        <rFont val="Calibri"/>
        <family val="2"/>
        <scheme val="minor"/>
      </rPr>
      <t>[Ω] (zmierzone)</t>
    </r>
  </si>
  <si>
    <r>
      <t>u(R</t>
    </r>
    <r>
      <rPr>
        <vertAlign val="subscript"/>
        <sz val="18"/>
        <color theme="1"/>
        <rFont val="Calibri (Body)"/>
      </rPr>
      <t>r</t>
    </r>
    <r>
      <rPr>
        <sz val="18"/>
        <color theme="1"/>
        <rFont val="Calibri"/>
        <family val="2"/>
        <scheme val="minor"/>
      </rPr>
      <t>) [Ω]</t>
    </r>
  </si>
  <si>
    <r>
      <t>R</t>
    </r>
    <r>
      <rPr>
        <vertAlign val="subscript"/>
        <sz val="18"/>
        <color theme="1"/>
        <rFont val="Calibri (Body)"/>
      </rPr>
      <t>r</t>
    </r>
    <r>
      <rPr>
        <sz val="18"/>
        <color theme="1"/>
        <rFont val="Calibri"/>
        <family val="2"/>
        <scheme val="minor"/>
      </rPr>
      <t xml:space="preserve"> [Ω]   (obliczone ze wzoru (1))</t>
    </r>
  </si>
  <si>
    <r>
      <t>u</t>
    </r>
    <r>
      <rPr>
        <vertAlign val="subscript"/>
        <sz val="18"/>
        <color theme="1"/>
        <rFont val="Calibri (Body)"/>
      </rPr>
      <t>c</t>
    </r>
    <r>
      <rPr>
        <sz val="18"/>
        <color theme="1"/>
        <rFont val="Calibri"/>
        <family val="2"/>
        <scheme val="minor"/>
      </rPr>
      <t xml:space="preserve"> (R</t>
    </r>
    <r>
      <rPr>
        <vertAlign val="subscript"/>
        <sz val="18"/>
        <color theme="1"/>
        <rFont val="Calibri (Body)"/>
      </rPr>
      <t>r</t>
    </r>
    <r>
      <rPr>
        <sz val="18"/>
        <color theme="1"/>
        <rFont val="Calibri"/>
        <family val="2"/>
        <scheme val="minor"/>
      </rPr>
      <t>) [Ω]</t>
    </r>
  </si>
  <si>
    <t>u(a) [V]</t>
  </si>
  <si>
    <t>b [mA]</t>
  </si>
  <si>
    <t>u(b) [mA]</t>
  </si>
  <si>
    <r>
      <t>R</t>
    </r>
    <r>
      <rPr>
        <vertAlign val="subscript"/>
        <sz val="12"/>
        <color theme="1"/>
        <rFont val="Calibri"/>
        <family val="2"/>
        <charset val="238"/>
        <scheme val="minor"/>
      </rPr>
      <t>s</t>
    </r>
    <r>
      <rPr>
        <sz val="12"/>
        <color theme="1"/>
        <rFont val="Calibri"/>
        <family val="2"/>
        <scheme val="minor"/>
      </rPr>
      <t xml:space="preserve"> [Ω]</t>
    </r>
  </si>
  <si>
    <r>
      <t>u(R</t>
    </r>
    <r>
      <rPr>
        <vertAlign val="subscript"/>
        <sz val="12"/>
        <color theme="1"/>
        <rFont val="Calibri"/>
        <family val="2"/>
        <charset val="238"/>
        <scheme val="minor"/>
      </rPr>
      <t>s</t>
    </r>
    <r>
      <rPr>
        <sz val="12"/>
        <color theme="1"/>
        <rFont val="Calibri"/>
        <family val="2"/>
        <scheme val="minor"/>
      </rPr>
      <t>) [Ω]</t>
    </r>
  </si>
  <si>
    <t>a [A/V]</t>
  </si>
  <si>
    <t>lp.</t>
  </si>
  <si>
    <t>t[s]</t>
  </si>
  <si>
    <t>t</t>
  </si>
  <si>
    <t>U</t>
  </si>
  <si>
    <t>u(U)</t>
  </si>
  <si>
    <t>[s]</t>
  </si>
  <si>
    <t>[mV]</t>
  </si>
  <si>
    <t>[℃]</t>
  </si>
  <si>
    <t>[%]</t>
  </si>
  <si>
    <t>T</t>
  </si>
  <si>
    <t>u(T)</t>
  </si>
  <si>
    <t>⍺</t>
  </si>
  <si>
    <t>u(⍺)</t>
  </si>
  <si>
    <t>B</t>
  </si>
  <si>
    <t>u(B)</t>
  </si>
  <si>
    <t>[mV/℃]</t>
  </si>
  <si>
    <r>
      <t>U</t>
    </r>
    <r>
      <rPr>
        <b/>
        <vertAlign val="subscript"/>
        <sz val="12"/>
        <color theme="1"/>
        <rFont val="Calibri (Body)"/>
      </rPr>
      <t>k</t>
    </r>
  </si>
  <si>
    <r>
      <t>u(U</t>
    </r>
    <r>
      <rPr>
        <b/>
        <vertAlign val="subscript"/>
        <sz val="12"/>
        <color theme="1"/>
        <rFont val="Calibri (Body)"/>
      </rPr>
      <t>k</t>
    </r>
    <r>
      <rPr>
        <b/>
        <sz val="12"/>
        <color theme="1"/>
        <rFont val="Calibri"/>
        <family val="2"/>
        <scheme val="minor"/>
      </rPr>
      <t>)</t>
    </r>
  </si>
  <si>
    <r>
      <t>T</t>
    </r>
    <r>
      <rPr>
        <b/>
        <vertAlign val="subscript"/>
        <sz val="12"/>
        <color theme="1"/>
        <rFont val="Calibri (Body)"/>
      </rPr>
      <t>k</t>
    </r>
  </si>
  <si>
    <r>
      <t>u</t>
    </r>
    <r>
      <rPr>
        <b/>
        <vertAlign val="subscript"/>
        <sz val="12"/>
        <color theme="1"/>
        <rFont val="Calibri (Body)"/>
      </rPr>
      <t>c</t>
    </r>
    <r>
      <rPr>
        <b/>
        <sz val="12"/>
        <color theme="1"/>
        <rFont val="Calibri"/>
        <family val="2"/>
        <scheme val="minor"/>
      </rPr>
      <t>(T</t>
    </r>
    <r>
      <rPr>
        <b/>
        <vertAlign val="subscript"/>
        <sz val="12"/>
        <color theme="1"/>
        <rFont val="Calibri (Body)"/>
      </rPr>
      <t>k)</t>
    </r>
  </si>
  <si>
    <t>REGLINP</t>
  </si>
  <si>
    <t>a -&gt;</t>
  </si>
  <si>
    <t>u(a) -&gt;</t>
  </si>
  <si>
    <t>&lt;- b</t>
  </si>
  <si>
    <t>&lt;- u(b)</t>
  </si>
  <si>
    <t>u(⍺)/⍺ ∙ 100%</t>
  </si>
  <si>
    <r>
      <t>u</t>
    </r>
    <r>
      <rPr>
        <b/>
        <vertAlign val="subscript"/>
        <sz val="12"/>
        <color theme="1"/>
        <rFont val="Calibri (Body)"/>
      </rPr>
      <t>c</t>
    </r>
    <r>
      <rPr>
        <b/>
        <sz val="12"/>
        <color theme="1"/>
        <rFont val="Calibri"/>
        <family val="2"/>
        <scheme val="minor"/>
      </rPr>
      <t>(T</t>
    </r>
    <r>
      <rPr>
        <b/>
        <vertAlign val="subscript"/>
        <sz val="12"/>
        <color theme="1"/>
        <rFont val="Calibri (Body)"/>
      </rPr>
      <t>k</t>
    </r>
    <r>
      <rPr>
        <b/>
        <sz val="12"/>
        <color theme="1"/>
        <rFont val="Calibri"/>
        <family val="2"/>
        <scheme val="minor"/>
      </rPr>
      <t>)/T</t>
    </r>
    <r>
      <rPr>
        <b/>
        <vertAlign val="subscript"/>
        <sz val="12"/>
        <color theme="1"/>
        <rFont val="Calibri (Body)"/>
      </rPr>
      <t xml:space="preserve">k </t>
    </r>
    <r>
      <rPr>
        <b/>
        <sz val="12"/>
        <color theme="1"/>
        <rFont val="Calibri"/>
        <family val="2"/>
        <scheme val="minor"/>
      </rPr>
      <t xml:space="preserve"> ∙ 100%</t>
    </r>
  </si>
  <si>
    <t>T[˚C]</t>
  </si>
  <si>
    <t>U[mV]</t>
  </si>
  <si>
    <t>ua(U)</t>
  </si>
  <si>
    <t>ub(U)</t>
  </si>
  <si>
    <t>u^2a(U)</t>
  </si>
  <si>
    <t>u^2b(U)</t>
  </si>
  <si>
    <t>l.p.</t>
  </si>
  <si>
    <t>a</t>
  </si>
  <si>
    <t>b</t>
  </si>
  <si>
    <t>℃</t>
  </si>
  <si>
    <t>Ω</t>
  </si>
  <si>
    <t>Ω/℃</t>
  </si>
  <si>
    <r>
      <t>℃</t>
    </r>
    <r>
      <rPr>
        <vertAlign val="superscript"/>
        <sz val="12"/>
        <color theme="1"/>
        <rFont val="Calibri (Body)"/>
      </rPr>
      <t>-1</t>
    </r>
  </si>
  <si>
    <t>1000/T</t>
  </si>
  <si>
    <t>1/K</t>
  </si>
  <si>
    <t>A</t>
  </si>
  <si>
    <t>K</t>
  </si>
  <si>
    <t>J</t>
  </si>
  <si>
    <t>Eg</t>
  </si>
  <si>
    <t>polprzewodnik</t>
  </si>
  <si>
    <t>metal</t>
  </si>
  <si>
    <r>
      <t>R</t>
    </r>
    <r>
      <rPr>
        <vertAlign val="subscript"/>
        <sz val="12"/>
        <color theme="1"/>
        <rFont val="Calibri (Body)"/>
      </rPr>
      <t>M</t>
    </r>
  </si>
  <si>
    <r>
      <t>u(R</t>
    </r>
    <r>
      <rPr>
        <vertAlign val="subscript"/>
        <sz val="12"/>
        <color theme="1"/>
        <rFont val="Calibri (Body)"/>
      </rPr>
      <t>M</t>
    </r>
    <r>
      <rPr>
        <sz val="12"/>
        <color theme="1"/>
        <rFont val="Calibri"/>
        <family val="2"/>
        <scheme val="minor"/>
      </rPr>
      <t>)</t>
    </r>
  </si>
  <si>
    <t>u(a)</t>
  </si>
  <si>
    <t>u(b)</t>
  </si>
  <si>
    <r>
      <t>u</t>
    </r>
    <r>
      <rPr>
        <vertAlign val="subscript"/>
        <sz val="12"/>
        <color theme="1"/>
        <rFont val="Calibri (Body)"/>
      </rPr>
      <t>c</t>
    </r>
    <r>
      <rPr>
        <sz val="12"/>
        <color theme="1"/>
        <rFont val="Calibri"/>
        <family val="2"/>
        <scheme val="minor"/>
      </rPr>
      <t>(⍺)</t>
    </r>
  </si>
  <si>
    <t>u(A)</t>
  </si>
  <si>
    <r>
      <t>u(R</t>
    </r>
    <r>
      <rPr>
        <vertAlign val="subscript"/>
        <sz val="12"/>
        <color theme="1"/>
        <rFont val="Calibri (Body)"/>
      </rPr>
      <t>P</t>
    </r>
    <r>
      <rPr>
        <sz val="12"/>
        <color theme="1"/>
        <rFont val="Calibri"/>
        <family val="2"/>
        <scheme val="minor"/>
      </rPr>
      <t>)</t>
    </r>
  </si>
  <si>
    <r>
      <t>R</t>
    </r>
    <r>
      <rPr>
        <vertAlign val="subscript"/>
        <sz val="12"/>
        <color theme="1"/>
        <rFont val="Calibri (Body)"/>
      </rPr>
      <t>P</t>
    </r>
  </si>
  <si>
    <r>
      <t>u</t>
    </r>
    <r>
      <rPr>
        <vertAlign val="subscript"/>
        <sz val="12"/>
        <color theme="1"/>
        <rFont val="Calibri (Body)"/>
      </rPr>
      <t>c</t>
    </r>
    <r>
      <rPr>
        <sz val="12"/>
        <color theme="1"/>
        <rFont val="Calibri (Body)"/>
      </rPr>
      <t>(</t>
    </r>
    <r>
      <rPr>
        <sz val="12"/>
        <color theme="1"/>
        <rFont val="Calibri"/>
        <family val="2"/>
        <scheme val="minor"/>
      </rPr>
      <t>1000/T)</t>
    </r>
  </si>
  <si>
    <r>
      <t>u</t>
    </r>
    <r>
      <rPr>
        <vertAlign val="subscript"/>
        <sz val="12"/>
        <color theme="1"/>
        <rFont val="Calibri (Body)"/>
      </rPr>
      <t>c</t>
    </r>
    <r>
      <rPr>
        <sz val="12"/>
        <color theme="1"/>
        <rFont val="Calibri"/>
        <family val="2"/>
        <scheme val="minor"/>
      </rPr>
      <t>(lnR</t>
    </r>
    <r>
      <rPr>
        <vertAlign val="subscript"/>
        <sz val="12"/>
        <color theme="1"/>
        <rFont val="Calibri (Body)"/>
      </rPr>
      <t>P</t>
    </r>
    <r>
      <rPr>
        <sz val="12"/>
        <color theme="1"/>
        <rFont val="Calibri"/>
        <family val="2"/>
        <scheme val="minor"/>
      </rPr>
      <t>)</t>
    </r>
  </si>
  <si>
    <t>eV</t>
  </si>
  <si>
    <t>u(Eg)</t>
  </si>
  <si>
    <r>
      <t>lnR</t>
    </r>
    <r>
      <rPr>
        <vertAlign val="subscript"/>
        <sz val="12"/>
        <color theme="1"/>
        <rFont val="Calibri (Body)"/>
      </rPr>
      <t>P</t>
    </r>
  </si>
  <si>
    <r>
      <t>R</t>
    </r>
    <r>
      <rPr>
        <vertAlign val="subscript"/>
        <sz val="14"/>
        <color theme="1"/>
        <rFont val="Calibri (Body)"/>
      </rPr>
      <t>M</t>
    </r>
  </si>
  <si>
    <r>
      <t>u(R</t>
    </r>
    <r>
      <rPr>
        <vertAlign val="subscript"/>
        <sz val="14"/>
        <color theme="1"/>
        <rFont val="Calibri (Body)"/>
      </rPr>
      <t>M</t>
    </r>
    <r>
      <rPr>
        <sz val="14"/>
        <color theme="1"/>
        <rFont val="Calibri"/>
        <family val="2"/>
        <scheme val="minor"/>
      </rPr>
      <t>)</t>
    </r>
  </si>
  <si>
    <r>
      <t>u</t>
    </r>
    <r>
      <rPr>
        <vertAlign val="subscript"/>
        <sz val="14"/>
        <color theme="1"/>
        <rFont val="Calibri (Body)"/>
      </rPr>
      <t>c</t>
    </r>
    <r>
      <rPr>
        <sz val="14"/>
        <color theme="1"/>
        <rFont val="Calibri"/>
        <family val="2"/>
        <scheme val="minor"/>
      </rPr>
      <t>(⍺)</t>
    </r>
  </si>
  <si>
    <r>
      <t>℃</t>
    </r>
    <r>
      <rPr>
        <vertAlign val="superscript"/>
        <sz val="14"/>
        <color theme="1"/>
        <rFont val="Calibri (Body)"/>
      </rPr>
      <t>-1</t>
    </r>
  </si>
  <si>
    <t>a --&gt;</t>
  </si>
  <si>
    <t>b &lt;--</t>
  </si>
  <si>
    <t>reglinp</t>
  </si>
  <si>
    <t>u(a) --&gt;</t>
  </si>
  <si>
    <t>&lt;-- u(b)</t>
  </si>
  <si>
    <t>-</t>
  </si>
  <si>
    <t>eV to J --&gt;</t>
  </si>
  <si>
    <t>J to eV --&gt;</t>
  </si>
  <si>
    <t>Uk</t>
  </si>
  <si>
    <t>u(Uk)</t>
  </si>
  <si>
    <t>Tk</t>
  </si>
  <si>
    <t>uc(Tk)</t>
  </si>
  <si>
    <t>uc(Tk)/Tk  ∙ 100%</t>
  </si>
  <si>
    <t>I [A]</t>
  </si>
  <si>
    <t>t [℃]</t>
  </si>
  <si>
    <t>u(I) [A]</t>
  </si>
  <si>
    <r>
      <t>t</t>
    </r>
    <r>
      <rPr>
        <vertAlign val="subscript"/>
        <sz val="12"/>
        <color theme="1"/>
        <rFont val="Calibri (Body)"/>
      </rPr>
      <t>0</t>
    </r>
    <r>
      <rPr>
        <sz val="12"/>
        <color theme="1"/>
        <rFont val="Calibri"/>
        <family val="2"/>
        <scheme val="minor"/>
      </rPr>
      <t xml:space="preserve"> [℃]</t>
    </r>
  </si>
  <si>
    <t>ΔT  [℃]</t>
  </si>
  <si>
    <r>
      <t>u</t>
    </r>
    <r>
      <rPr>
        <vertAlign val="subscript"/>
        <sz val="12"/>
        <color theme="1"/>
        <rFont val="Calibri (Body)"/>
      </rPr>
      <t>c</t>
    </r>
    <r>
      <rPr>
        <sz val="12"/>
        <color theme="1"/>
        <rFont val="Calibri"/>
        <family val="2"/>
        <scheme val="minor"/>
      </rPr>
      <t>(ΔT) [℃]</t>
    </r>
  </si>
  <si>
    <r>
      <t>u</t>
    </r>
    <r>
      <rPr>
        <vertAlign val="subscript"/>
        <sz val="12"/>
        <color theme="1"/>
        <rFont val="Calibri (Body)"/>
      </rPr>
      <t>c</t>
    </r>
    <r>
      <rPr>
        <sz val="12"/>
        <color theme="1"/>
        <rFont val="Calibri"/>
        <family val="2"/>
        <scheme val="minor"/>
      </rPr>
      <t>(ΔL/L0)</t>
    </r>
  </si>
  <si>
    <t>Δ(Δl) [mm]</t>
  </si>
  <si>
    <t>szybko</t>
  </si>
  <si>
    <t>ΔL[mm]</t>
  </si>
  <si>
    <r>
      <t>ΔL/L</t>
    </r>
    <r>
      <rPr>
        <vertAlign val="subscript"/>
        <sz val="12"/>
        <color theme="1"/>
        <rFont val="Calibri (Body)"/>
      </rPr>
      <t>0</t>
    </r>
  </si>
  <si>
    <r>
      <t>L</t>
    </r>
    <r>
      <rPr>
        <vertAlign val="subscript"/>
        <sz val="12"/>
        <color theme="1"/>
        <rFont val="Calibri (Body)"/>
      </rPr>
      <t xml:space="preserve">o </t>
    </r>
    <r>
      <rPr>
        <sz val="12"/>
        <color theme="1"/>
        <rFont val="Calibri"/>
        <family val="2"/>
        <scheme val="minor"/>
      </rPr>
      <t>[mm]</t>
    </r>
  </si>
  <si>
    <r>
      <t>Δ(L</t>
    </r>
    <r>
      <rPr>
        <vertAlign val="subscript"/>
        <sz val="12"/>
        <color theme="1"/>
        <rFont val="Calibri (Body)"/>
      </rPr>
      <t>0</t>
    </r>
    <r>
      <rPr>
        <sz val="12"/>
        <color theme="1"/>
        <rFont val="Calibri"/>
        <family val="2"/>
        <scheme val="minor"/>
      </rPr>
      <t>) [mm]</t>
    </r>
  </si>
  <si>
    <t>u(t) [℃]</t>
  </si>
  <si>
    <t>&lt;-- b</t>
  </si>
  <si>
    <t>alpha [°]</t>
  </si>
  <si>
    <r>
      <t>U</t>
    </r>
    <r>
      <rPr>
        <b/>
        <vertAlign val="subscript"/>
        <sz val="12"/>
        <color theme="1"/>
        <rFont val="Calibri (Body)"/>
      </rPr>
      <t>h</t>
    </r>
  </si>
  <si>
    <r>
      <t>u(U</t>
    </r>
    <r>
      <rPr>
        <vertAlign val="subscript"/>
        <sz val="12"/>
        <color theme="1"/>
        <rFont val="Calibri (Body)"/>
      </rPr>
      <t>h</t>
    </r>
    <r>
      <rPr>
        <sz val="12"/>
        <color theme="1"/>
        <rFont val="Calibri"/>
        <family val="2"/>
        <scheme val="minor"/>
      </rPr>
      <t>)</t>
    </r>
  </si>
  <si>
    <t>alfa [stopnie]</t>
  </si>
  <si>
    <t>alpha[rad]</t>
  </si>
  <si>
    <t>alfa[radian]</t>
  </si>
  <si>
    <t>alphaZero[rad]</t>
  </si>
  <si>
    <t xml:space="preserve">Bn </t>
  </si>
  <si>
    <t>B0</t>
  </si>
  <si>
    <t>dla Bn</t>
  </si>
  <si>
    <t>gammaA</t>
  </si>
  <si>
    <t>u(gammaA)</t>
  </si>
  <si>
    <t>gammaB</t>
  </si>
  <si>
    <t>u(gammaB)</t>
  </si>
  <si>
    <t>Is [mA]</t>
  </si>
  <si>
    <t>u(Bn)</t>
  </si>
  <si>
    <t>u(Bo))</t>
  </si>
  <si>
    <t>u(Is)</t>
  </si>
  <si>
    <t>n</t>
  </si>
  <si>
    <t>e</t>
  </si>
  <si>
    <t>d</t>
  </si>
  <si>
    <t>uc(n)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</si>
</sst>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00"/>
    <numFmt numFmtId="166" formatCode="0.00000"/>
    <numFmt numFmtId="167" formatCode="0.0000"/>
    <numFmt numFmtId="168" formatCode="0.000000"/>
    <numFmt numFmtId="169" formatCode="0.00000000"/>
    <numFmt numFmtId="170" formatCode="0.0000E+00"/>
    <numFmt numFmtId="171" formatCode="0.0000000"/>
  </numFmts>
  <fonts count="18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vertAlign val="subscript"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bscript"/>
      <sz val="18"/>
      <color theme="1"/>
      <name val="Calibri (Body)"/>
    </font>
    <font>
      <vertAlign val="subscript"/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 (Body)"/>
    </font>
    <font>
      <sz val="12"/>
      <color theme="1"/>
      <name val="Calibri"/>
      <family val="2"/>
      <charset val="238"/>
    </font>
    <font>
      <b/>
      <sz val="18"/>
      <color theme="1"/>
      <name val="Calibri"/>
      <family val="2"/>
      <charset val="238"/>
      <scheme val="minor"/>
    </font>
    <font>
      <vertAlign val="superscript"/>
      <sz val="12"/>
      <color theme="1"/>
      <name val="Calibri (Body)"/>
    </font>
    <font>
      <sz val="12"/>
      <color theme="1"/>
      <name val="Calibri (Body)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 (Body)"/>
    </font>
    <font>
      <vertAlign val="superscript"/>
      <sz val="14"/>
      <color theme="1"/>
      <name val="Calibri (Body)"/>
    </font>
    <font>
      <sz val="14"/>
      <color rgb="FF000000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2" fontId="0" fillId="0" borderId="0" xfId="0" applyNumberFormat="1"/>
    <xf numFmtId="0" fontId="3" fillId="3" borderId="1" xfId="0" applyFont="1" applyFill="1" applyBorder="1" applyAlignment="1">
      <alignment horizontal="center" vertical="center"/>
    </xf>
    <xf numFmtId="2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2" fontId="3" fillId="4" borderId="4" xfId="0" applyNumberFormat="1" applyFont="1" applyFill="1" applyBorder="1" applyAlignment="1">
      <alignment horizontal="center" vertical="center"/>
    </xf>
    <xf numFmtId="165" fontId="3" fillId="4" borderId="4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67" fontId="3" fillId="4" borderId="4" xfId="0" applyNumberFormat="1" applyFont="1" applyFill="1" applyBorder="1" applyAlignment="1">
      <alignment horizontal="center" vertical="center"/>
    </xf>
    <xf numFmtId="166" fontId="3" fillId="4" borderId="4" xfId="0" applyNumberFormat="1" applyFon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" fontId="0" fillId="5" borderId="3" xfId="0" applyNumberFormat="1" applyFill="1" applyBorder="1" applyAlignment="1">
      <alignment horizontal="center" vertical="center"/>
    </xf>
    <xf numFmtId="165" fontId="0" fillId="5" borderId="3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2" fontId="0" fillId="5" borderId="4" xfId="0" applyNumberFormat="1" applyFill="1" applyBorder="1" applyAlignment="1">
      <alignment horizontal="center" vertical="center"/>
    </xf>
    <xf numFmtId="2" fontId="0" fillId="5" borderId="2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2" fontId="4" fillId="2" borderId="12" xfId="0" applyNumberFormat="1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2" fontId="4" fillId="5" borderId="14" xfId="0" applyNumberFormat="1" applyFont="1" applyFill="1" applyBorder="1" applyAlignment="1">
      <alignment horizontal="center" vertical="center"/>
    </xf>
    <xf numFmtId="2" fontId="4" fillId="5" borderId="15" xfId="0" applyNumberFormat="1" applyFont="1" applyFill="1" applyBorder="1" applyAlignment="1">
      <alignment horizontal="center" vertical="center"/>
    </xf>
    <xf numFmtId="164" fontId="4" fillId="5" borderId="15" xfId="0" applyNumberFormat="1" applyFont="1" applyFill="1" applyBorder="1" applyAlignment="1">
      <alignment horizontal="center" vertical="center"/>
    </xf>
    <xf numFmtId="2" fontId="4" fillId="5" borderId="16" xfId="0" applyNumberFormat="1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2" fontId="0" fillId="2" borderId="12" xfId="0" applyNumberForma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2" fontId="0" fillId="0" borderId="15" xfId="0" applyNumberFormat="1" applyBorder="1"/>
    <xf numFmtId="0" fontId="0" fillId="0" borderId="16" xfId="0" applyBorder="1"/>
    <xf numFmtId="12" fontId="0" fillId="0" borderId="0" xfId="0" applyNumberFormat="1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8" fontId="0" fillId="0" borderId="1" xfId="0" applyNumberFormat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166" fontId="0" fillId="0" borderId="18" xfId="0" applyNumberFormat="1" applyBorder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68" fontId="0" fillId="0" borderId="18" xfId="0" applyNumberFormat="1" applyBorder="1" applyAlignment="1">
      <alignment horizontal="center" vertical="center"/>
    </xf>
    <xf numFmtId="0" fontId="10" fillId="9" borderId="18" xfId="0" applyFont="1" applyFill="1" applyBorder="1" applyAlignment="1">
      <alignment horizontal="center" vertical="center" wrapText="1"/>
    </xf>
    <xf numFmtId="0" fontId="10" fillId="10" borderId="18" xfId="0" applyFont="1" applyFill="1" applyBorder="1" applyAlignment="1">
      <alignment horizontal="center" vertical="center" wrapText="1"/>
    </xf>
    <xf numFmtId="0" fontId="10" fillId="8" borderId="18" xfId="0" applyFont="1" applyFill="1" applyBorder="1" applyAlignment="1">
      <alignment horizontal="center" vertical="center" wrapText="1"/>
    </xf>
    <xf numFmtId="0" fontId="10" fillId="7" borderId="18" xfId="0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3" fillId="0" borderId="1" xfId="0" applyNumberFormat="1" applyFont="1" applyBorder="1" applyAlignment="1">
      <alignment vertical="center"/>
    </xf>
    <xf numFmtId="165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vertical="center"/>
    </xf>
    <xf numFmtId="166" fontId="0" fillId="0" borderId="1" xfId="0" applyNumberFormat="1" applyBorder="1"/>
    <xf numFmtId="166" fontId="0" fillId="0" borderId="1" xfId="0" applyNumberFormat="1" applyBorder="1" applyAlignment="1">
      <alignment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3" fillId="6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166" fontId="13" fillId="0" borderId="1" xfId="0" applyNumberFormat="1" applyFont="1" applyBorder="1" applyAlignment="1">
      <alignment horizontal="center" vertical="center"/>
    </xf>
    <xf numFmtId="168" fontId="13" fillId="0" borderId="1" xfId="0" applyNumberFormat="1" applyFont="1" applyBorder="1" applyAlignment="1">
      <alignment horizontal="center" vertical="center"/>
    </xf>
    <xf numFmtId="169" fontId="13" fillId="0" borderId="1" xfId="0" applyNumberFormat="1" applyFont="1" applyBorder="1" applyAlignment="1">
      <alignment horizontal="center" vertical="center"/>
    </xf>
    <xf numFmtId="171" fontId="13" fillId="0" borderId="1" xfId="0" applyNumberFormat="1" applyFont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7" fillId="15" borderId="1" xfId="0" applyFont="1" applyFill="1" applyBorder="1" applyAlignment="1">
      <alignment horizontal="center" vertical="center"/>
    </xf>
    <xf numFmtId="0" fontId="0" fillId="0" borderId="1" xfId="0" applyBorder="1"/>
    <xf numFmtId="165" fontId="0" fillId="0" borderId="1" xfId="0" applyNumberFormat="1" applyBorder="1"/>
    <xf numFmtId="167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3" xfId="0" applyNumberFormat="1" applyBorder="1" applyAlignment="1">
      <alignment horizontal="center" vertical="center"/>
    </xf>
    <xf numFmtId="164" fontId="0" fillId="0" borderId="1" xfId="0" applyNumberFormat="1" applyBorder="1"/>
    <xf numFmtId="11" fontId="0" fillId="0" borderId="1" xfId="0" applyNumberFormat="1" applyBorder="1"/>
    <xf numFmtId="0" fontId="0" fillId="0" borderId="0" xfId="0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8" fontId="3" fillId="0" borderId="19" xfId="0" applyNumberFormat="1" applyFont="1" applyBorder="1" applyAlignment="1">
      <alignment horizontal="center" vertical="center"/>
    </xf>
    <xf numFmtId="168" fontId="3" fillId="0" borderId="20" xfId="0" applyNumberFormat="1" applyFont="1" applyBorder="1" applyAlignment="1">
      <alignment horizontal="center" vertical="center"/>
    </xf>
    <xf numFmtId="168" fontId="3" fillId="0" borderId="21" xfId="0" applyNumberFormat="1" applyFont="1" applyBorder="1" applyAlignment="1">
      <alignment horizontal="center" vertical="center"/>
    </xf>
    <xf numFmtId="166" fontId="3" fillId="0" borderId="19" xfId="0" applyNumberFormat="1" applyFont="1" applyBorder="1" applyAlignment="1">
      <alignment horizontal="center" vertical="center"/>
    </xf>
    <xf numFmtId="166" fontId="3" fillId="0" borderId="20" xfId="0" applyNumberFormat="1" applyFont="1" applyBorder="1" applyAlignment="1">
      <alignment horizontal="center" vertical="center"/>
    </xf>
    <xf numFmtId="166" fontId="3" fillId="0" borderId="21" xfId="0" applyNumberFormat="1" applyFont="1" applyBorder="1" applyAlignment="1">
      <alignment horizontal="center" vertical="center"/>
    </xf>
    <xf numFmtId="165" fontId="3" fillId="0" borderId="19" xfId="0" applyNumberFormat="1" applyFont="1" applyBorder="1" applyAlignment="1">
      <alignment horizontal="center" vertical="center"/>
    </xf>
    <xf numFmtId="165" fontId="3" fillId="0" borderId="20" xfId="0" applyNumberFormat="1" applyFont="1" applyBorder="1" applyAlignment="1">
      <alignment horizontal="center" vertical="center"/>
    </xf>
    <xf numFmtId="165" fontId="3" fillId="0" borderId="21" xfId="0" applyNumberFormat="1" applyFont="1" applyBorder="1" applyAlignment="1">
      <alignment horizontal="center" vertical="center"/>
    </xf>
    <xf numFmtId="2" fontId="3" fillId="0" borderId="19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21" xfId="0" applyNumberFormat="1" applyFont="1" applyBorder="1" applyAlignment="1">
      <alignment horizontal="center" vertical="center"/>
    </xf>
    <xf numFmtId="165" fontId="0" fillId="0" borderId="18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6" fontId="13" fillId="0" borderId="1" xfId="0" applyNumberFormat="1" applyFont="1" applyBorder="1" applyAlignment="1">
      <alignment horizontal="center" vertical="center"/>
    </xf>
    <xf numFmtId="165" fontId="13" fillId="0" borderId="1" xfId="0" applyNumberFormat="1" applyFont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166" fontId="3" fillId="0" borderId="18" xfId="0" applyNumberFormat="1" applyFont="1" applyBorder="1" applyAlignment="1">
      <alignment horizontal="center" vertical="center"/>
    </xf>
    <xf numFmtId="166" fontId="0" fillId="0" borderId="18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1" fontId="0" fillId="0" borderId="22" xfId="0" applyNumberFormat="1" applyBorder="1" applyAlignment="1">
      <alignment horizontal="center" vertical="center"/>
    </xf>
    <xf numFmtId="171" fontId="0" fillId="0" borderId="23" xfId="0" applyNumberFormat="1" applyBorder="1" applyAlignment="1">
      <alignment horizontal="center" vertical="center"/>
    </xf>
    <xf numFmtId="171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6" borderId="1" xfId="0" applyFont="1" applyFill="1" applyBorder="1" applyAlignment="1">
      <alignment horizontal="center" vertical="center"/>
    </xf>
    <xf numFmtId="165" fontId="16" fillId="0" borderId="1" xfId="0" applyNumberFormat="1" applyFont="1" applyBorder="1" applyAlignment="1">
      <alignment horizontal="center" vertical="center"/>
    </xf>
    <xf numFmtId="165" fontId="13" fillId="0" borderId="22" xfId="0" applyNumberFormat="1" applyFont="1" applyBorder="1" applyAlignment="1">
      <alignment horizontal="center" vertical="center"/>
    </xf>
    <xf numFmtId="165" fontId="13" fillId="0" borderId="23" xfId="0" applyNumberFormat="1" applyFont="1" applyBorder="1" applyAlignment="1">
      <alignment horizontal="center" vertical="center"/>
    </xf>
    <xf numFmtId="165" fontId="13" fillId="0" borderId="3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23" xfId="0" applyNumberFormat="1" applyFont="1" applyBorder="1" applyAlignment="1">
      <alignment horizontal="center" vertical="center"/>
    </xf>
    <xf numFmtId="2" fontId="13" fillId="0" borderId="3" xfId="0" applyNumberFormat="1" applyFont="1" applyBorder="1" applyAlignment="1">
      <alignment horizontal="center" vertical="center"/>
    </xf>
    <xf numFmtId="166" fontId="13" fillId="0" borderId="22" xfId="0" applyNumberFormat="1" applyFont="1" applyBorder="1" applyAlignment="1">
      <alignment horizontal="center" vertical="center"/>
    </xf>
    <xf numFmtId="166" fontId="13" fillId="0" borderId="23" xfId="0" applyNumberFormat="1" applyFont="1" applyBorder="1" applyAlignment="1">
      <alignment horizontal="center" vertical="center"/>
    </xf>
    <xf numFmtId="166" fontId="13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Charakterystyka prądowo-napięciowa dla oporników połączonych szeregowo</a:t>
            </a:r>
            <a:endParaRPr lang="en-GB"/>
          </a:p>
        </c:rich>
      </c:tx>
      <c:layout>
        <c:manualLayout>
          <c:xMode val="edge"/>
          <c:yMode val="edge"/>
          <c:x val="0.17796119210576156"/>
          <c:y val="0.115947968475948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L"/>
        </a:p>
      </c:txPr>
    </c:title>
    <c:autoTitleDeleted val="0"/>
    <c:plotArea>
      <c:layout>
        <c:manualLayout>
          <c:layoutTarget val="inner"/>
          <c:xMode val="edge"/>
          <c:yMode val="edge"/>
          <c:x val="0.12851734158921047"/>
          <c:y val="0.19034930837411848"/>
          <c:w val="0.81493985126859136"/>
          <c:h val="0.6643828375619713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dash"/>
              </a:ln>
              <a:effectLst/>
            </c:spPr>
            <c:trendlineType val="linear"/>
            <c:forward val="1"/>
            <c:backward val="3.1"/>
            <c:dispRSqr val="0"/>
            <c:dispEq val="1"/>
            <c:trendlineLbl>
              <c:layout>
                <c:manualLayout>
                  <c:x val="-2.318557576231688E-2"/>
                  <c:y val="-1.32869187793110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L"/>
                </a:p>
              </c:txPr>
            </c:trendlineLbl>
          </c:trendline>
          <c:errBars>
            <c:errDir val="y"/>
            <c:errBarType val="both"/>
            <c:errValType val="fixedVal"/>
            <c:noEndCap val="0"/>
            <c:val val="0.5"/>
            <c:spPr>
              <a:noFill/>
              <a:ln w="50800" cap="flat" cmpd="sng" algn="ctr">
                <a:solidFill>
                  <a:srgbClr val="FF0000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.1"/>
            <c:spPr>
              <a:noFill/>
              <a:ln w="57150" cap="flat" cmpd="sng" algn="ctr">
                <a:solidFill>
                  <a:schemeClr val="accent4"/>
                </a:solidFill>
                <a:round/>
              </a:ln>
              <a:effectLst/>
            </c:spPr>
          </c:errBars>
          <c:xVal>
            <c:numRef>
              <c:f>prad!$E$16:$E$21</c:f>
              <c:numCache>
                <c:formatCode>0.00</c:formatCode>
                <c:ptCount val="6"/>
                <c:pt idx="0">
                  <c:v>3.25</c:v>
                </c:pt>
                <c:pt idx="1">
                  <c:v>4.72</c:v>
                </c:pt>
                <c:pt idx="2">
                  <c:v>6.27</c:v>
                </c:pt>
                <c:pt idx="3">
                  <c:v>7.79</c:v>
                </c:pt>
                <c:pt idx="4">
                  <c:v>9.44</c:v>
                </c:pt>
                <c:pt idx="5">
                  <c:v>12.26</c:v>
                </c:pt>
              </c:numCache>
            </c:numRef>
          </c:xVal>
          <c:yVal>
            <c:numRef>
              <c:f>prad!$G$16:$G$21</c:f>
              <c:numCache>
                <c:formatCode>General</c:formatCode>
                <c:ptCount val="6"/>
                <c:pt idx="0">
                  <c:v>10.85</c:v>
                </c:pt>
                <c:pt idx="1">
                  <c:v>15.77</c:v>
                </c:pt>
                <c:pt idx="2" formatCode="0.00">
                  <c:v>21.4</c:v>
                </c:pt>
                <c:pt idx="3" formatCode="0.00">
                  <c:v>26.7</c:v>
                </c:pt>
                <c:pt idx="4" formatCode="0.00">
                  <c:v>32.299999999999997</c:v>
                </c:pt>
                <c:pt idx="5" formatCode="0.00">
                  <c:v>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07-4748-81F2-B87ADD79A5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37952"/>
        <c:axId val="18739680"/>
      </c:scatterChart>
      <c:valAx>
        <c:axId val="1873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</a:t>
                </a:r>
                <a:r>
                  <a:rPr lang="en-GB" baseline="0"/>
                  <a:t> [V]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18739680"/>
        <c:crosses val="autoZero"/>
        <c:crossBetween val="midCat"/>
      </c:valAx>
      <c:valAx>
        <c:axId val="1873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</a:t>
                </a:r>
                <a:r>
                  <a:rPr lang="en-GB" baseline="0"/>
                  <a:t> [mA]</a:t>
                </a:r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18737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U = f(T)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forward val="2"/>
            <c:backward val="5"/>
            <c:dispRSqr val="0"/>
            <c:dispEq val="1"/>
            <c:trendlineLbl>
              <c:layout>
                <c:manualLayout>
                  <c:x val="4.38093187069565E-2"/>
                  <c:y val="-2.84863600194772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L"/>
                </a:p>
              </c:txPr>
            </c:trendlineLbl>
          </c:trendline>
          <c:errBars>
            <c:errDir val="y"/>
            <c:errBarType val="both"/>
            <c:errValType val="fixedVal"/>
            <c:noEndCap val="0"/>
            <c:val val="5.0000000000000001E-3"/>
            <c:spPr>
              <a:noFill/>
              <a:ln w="25400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.7"/>
            <c:spPr>
              <a:noFill/>
              <a:ln w="28575" cap="flat" cmpd="sng" algn="ctr">
                <a:solidFill>
                  <a:schemeClr val="accent4"/>
                </a:solidFill>
                <a:round/>
              </a:ln>
              <a:effectLst/>
            </c:spPr>
          </c:errBars>
          <c:xVal>
            <c:numRef>
              <c:f>termometr!$D$6:$D$20</c:f>
              <c:numCache>
                <c:formatCode>General</c:formatCode>
                <c:ptCount val="15"/>
                <c:pt idx="0">
                  <c:v>50</c:v>
                </c:pt>
                <c:pt idx="1">
                  <c:v>52</c:v>
                </c:pt>
                <c:pt idx="2">
                  <c:v>54</c:v>
                </c:pt>
                <c:pt idx="3">
                  <c:v>56</c:v>
                </c:pt>
                <c:pt idx="4">
                  <c:v>58</c:v>
                </c:pt>
                <c:pt idx="5">
                  <c:v>60</c:v>
                </c:pt>
                <c:pt idx="6">
                  <c:v>62</c:v>
                </c:pt>
                <c:pt idx="7">
                  <c:v>64</c:v>
                </c:pt>
                <c:pt idx="8">
                  <c:v>66</c:v>
                </c:pt>
                <c:pt idx="9">
                  <c:v>68</c:v>
                </c:pt>
                <c:pt idx="10">
                  <c:v>70</c:v>
                </c:pt>
                <c:pt idx="11">
                  <c:v>72</c:v>
                </c:pt>
                <c:pt idx="12">
                  <c:v>74</c:v>
                </c:pt>
                <c:pt idx="13">
                  <c:v>76</c:v>
                </c:pt>
                <c:pt idx="14">
                  <c:v>78</c:v>
                </c:pt>
              </c:numCache>
            </c:numRef>
          </c:xVal>
          <c:yVal>
            <c:numRef>
              <c:f>termometr!$E$6:$E$20</c:f>
              <c:numCache>
                <c:formatCode>General</c:formatCode>
                <c:ptCount val="15"/>
                <c:pt idx="0">
                  <c:v>1.97</c:v>
                </c:pt>
                <c:pt idx="1">
                  <c:v>2.0299999999999998</c:v>
                </c:pt>
                <c:pt idx="2">
                  <c:v>2.13</c:v>
                </c:pt>
                <c:pt idx="3">
                  <c:v>2.2000000000000002</c:v>
                </c:pt>
                <c:pt idx="4">
                  <c:v>2.2999999999999998</c:v>
                </c:pt>
                <c:pt idx="5">
                  <c:v>2.37</c:v>
                </c:pt>
                <c:pt idx="6">
                  <c:v>2.46</c:v>
                </c:pt>
                <c:pt idx="7">
                  <c:v>2.56</c:v>
                </c:pt>
                <c:pt idx="8">
                  <c:v>2.65</c:v>
                </c:pt>
                <c:pt idx="9">
                  <c:v>2.75</c:v>
                </c:pt>
                <c:pt idx="10">
                  <c:v>2.84</c:v>
                </c:pt>
                <c:pt idx="11">
                  <c:v>2.94</c:v>
                </c:pt>
                <c:pt idx="12">
                  <c:v>3.04</c:v>
                </c:pt>
                <c:pt idx="13">
                  <c:v>3.2</c:v>
                </c:pt>
                <c:pt idx="14">
                  <c:v>3.3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52-1F4B-A9D7-C529D318C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280928"/>
        <c:axId val="712283200"/>
      </c:scatterChart>
      <c:valAx>
        <c:axId val="712280928"/>
        <c:scaling>
          <c:orientation val="minMax"/>
          <c:min val="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T[˚C]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712283200"/>
        <c:crosses val="autoZero"/>
        <c:crossBetween val="midCat"/>
      </c:valAx>
      <c:valAx>
        <c:axId val="712283200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</a:t>
                </a:r>
                <a:r>
                  <a:rPr lang="en-GB"/>
                  <a:t>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712280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3600" baseline="0"/>
              <a:t>Zależność U</a:t>
            </a:r>
            <a:r>
              <a:rPr lang="en-US" sz="3600" baseline="0"/>
              <a:t> = f(t)</a:t>
            </a:r>
          </a:p>
        </c:rich>
      </c:tx>
      <c:layout>
        <c:manualLayout>
          <c:xMode val="edge"/>
          <c:yMode val="edge"/>
          <c:x val="0.37703938484045552"/>
          <c:y val="1.38067061143984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L"/>
        </a:p>
      </c:txPr>
    </c:title>
    <c:autoTitleDeleted val="0"/>
    <c:plotArea>
      <c:layout>
        <c:manualLayout>
          <c:layoutTarget val="inner"/>
          <c:xMode val="edge"/>
          <c:yMode val="edge"/>
          <c:x val="9.4358923884514445E-2"/>
          <c:y val="0.11845392357451379"/>
          <c:w val="0.86854304976583807"/>
          <c:h val="0.7820388514881522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termometr!$G$6:$G$80</c:f>
              <c:numCache>
                <c:formatCode>0</c:formatCode>
                <c:ptCount val="7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  <c:pt idx="20">
                  <c:v>420</c:v>
                </c:pt>
                <c:pt idx="21">
                  <c:v>440</c:v>
                </c:pt>
                <c:pt idx="22">
                  <c:v>460</c:v>
                </c:pt>
                <c:pt idx="23">
                  <c:v>480</c:v>
                </c:pt>
                <c:pt idx="24">
                  <c:v>500</c:v>
                </c:pt>
                <c:pt idx="25">
                  <c:v>520</c:v>
                </c:pt>
                <c:pt idx="26">
                  <c:v>540</c:v>
                </c:pt>
                <c:pt idx="27">
                  <c:v>560</c:v>
                </c:pt>
                <c:pt idx="28">
                  <c:v>580</c:v>
                </c:pt>
                <c:pt idx="29">
                  <c:v>600</c:v>
                </c:pt>
                <c:pt idx="30">
                  <c:v>620</c:v>
                </c:pt>
                <c:pt idx="31">
                  <c:v>640</c:v>
                </c:pt>
                <c:pt idx="32">
                  <c:v>660</c:v>
                </c:pt>
                <c:pt idx="33">
                  <c:v>680</c:v>
                </c:pt>
                <c:pt idx="34">
                  <c:v>700</c:v>
                </c:pt>
                <c:pt idx="35">
                  <c:v>720</c:v>
                </c:pt>
                <c:pt idx="36">
                  <c:v>740</c:v>
                </c:pt>
                <c:pt idx="37">
                  <c:v>760</c:v>
                </c:pt>
                <c:pt idx="38">
                  <c:v>780</c:v>
                </c:pt>
                <c:pt idx="39">
                  <c:v>800</c:v>
                </c:pt>
                <c:pt idx="40">
                  <c:v>820</c:v>
                </c:pt>
                <c:pt idx="41">
                  <c:v>840</c:v>
                </c:pt>
                <c:pt idx="42">
                  <c:v>860</c:v>
                </c:pt>
                <c:pt idx="43">
                  <c:v>880</c:v>
                </c:pt>
                <c:pt idx="44">
                  <c:v>900</c:v>
                </c:pt>
                <c:pt idx="45">
                  <c:v>920</c:v>
                </c:pt>
                <c:pt idx="46">
                  <c:v>940</c:v>
                </c:pt>
                <c:pt idx="47">
                  <c:v>960</c:v>
                </c:pt>
                <c:pt idx="48">
                  <c:v>980</c:v>
                </c:pt>
                <c:pt idx="49">
                  <c:v>1000</c:v>
                </c:pt>
                <c:pt idx="50">
                  <c:v>1020</c:v>
                </c:pt>
                <c:pt idx="51">
                  <c:v>1040</c:v>
                </c:pt>
                <c:pt idx="52">
                  <c:v>1060</c:v>
                </c:pt>
                <c:pt idx="53">
                  <c:v>1080</c:v>
                </c:pt>
                <c:pt idx="54">
                  <c:v>1100</c:v>
                </c:pt>
                <c:pt idx="55">
                  <c:v>1120</c:v>
                </c:pt>
                <c:pt idx="56">
                  <c:v>1140</c:v>
                </c:pt>
                <c:pt idx="57">
                  <c:v>1160</c:v>
                </c:pt>
                <c:pt idx="58">
                  <c:v>1180</c:v>
                </c:pt>
                <c:pt idx="59">
                  <c:v>1200</c:v>
                </c:pt>
                <c:pt idx="60">
                  <c:v>1220</c:v>
                </c:pt>
                <c:pt idx="61">
                  <c:v>1240</c:v>
                </c:pt>
                <c:pt idx="62">
                  <c:v>1260</c:v>
                </c:pt>
                <c:pt idx="63">
                  <c:v>1280</c:v>
                </c:pt>
                <c:pt idx="64">
                  <c:v>1300</c:v>
                </c:pt>
                <c:pt idx="65">
                  <c:v>1320</c:v>
                </c:pt>
                <c:pt idx="66">
                  <c:v>1340</c:v>
                </c:pt>
                <c:pt idx="67">
                  <c:v>1360</c:v>
                </c:pt>
                <c:pt idx="68">
                  <c:v>1380</c:v>
                </c:pt>
                <c:pt idx="69">
                  <c:v>1400</c:v>
                </c:pt>
                <c:pt idx="70">
                  <c:v>1420</c:v>
                </c:pt>
                <c:pt idx="71">
                  <c:v>1440</c:v>
                </c:pt>
                <c:pt idx="72">
                  <c:v>1460</c:v>
                </c:pt>
              </c:numCache>
            </c:numRef>
          </c:xVal>
          <c:yVal>
            <c:numRef>
              <c:f>termometr!$H$6:$H$78</c:f>
              <c:numCache>
                <c:formatCode>General</c:formatCode>
                <c:ptCount val="73"/>
                <c:pt idx="0">
                  <c:v>0.55000000000000004</c:v>
                </c:pt>
                <c:pt idx="1">
                  <c:v>0.5</c:v>
                </c:pt>
                <c:pt idx="2">
                  <c:v>0.45</c:v>
                </c:pt>
                <c:pt idx="3">
                  <c:v>0.39</c:v>
                </c:pt>
                <c:pt idx="4">
                  <c:v>0.28999999999999998</c:v>
                </c:pt>
                <c:pt idx="5">
                  <c:v>0.22</c:v>
                </c:pt>
                <c:pt idx="6">
                  <c:v>0.17</c:v>
                </c:pt>
                <c:pt idx="7">
                  <c:v>0.13</c:v>
                </c:pt>
                <c:pt idx="8">
                  <c:v>0.09</c:v>
                </c:pt>
                <c:pt idx="9">
                  <c:v>0.06</c:v>
                </c:pt>
                <c:pt idx="10">
                  <c:v>0.04</c:v>
                </c:pt>
                <c:pt idx="11">
                  <c:v>0.02</c:v>
                </c:pt>
                <c:pt idx="12">
                  <c:v>0</c:v>
                </c:pt>
                <c:pt idx="13">
                  <c:v>-0.01</c:v>
                </c:pt>
                <c:pt idx="14">
                  <c:v>-0.03</c:v>
                </c:pt>
                <c:pt idx="15">
                  <c:v>-0.06</c:v>
                </c:pt>
                <c:pt idx="16">
                  <c:v>-0.06</c:v>
                </c:pt>
                <c:pt idx="17">
                  <c:v>-0.05</c:v>
                </c:pt>
                <c:pt idx="18">
                  <c:v>-0.02</c:v>
                </c:pt>
                <c:pt idx="19">
                  <c:v>0</c:v>
                </c:pt>
                <c:pt idx="20">
                  <c:v>0.03</c:v>
                </c:pt>
                <c:pt idx="21">
                  <c:v>0.06</c:v>
                </c:pt>
                <c:pt idx="22">
                  <c:v>0.09</c:v>
                </c:pt>
                <c:pt idx="23">
                  <c:v>0.11700000000000001</c:v>
                </c:pt>
                <c:pt idx="24">
                  <c:v>0.121</c:v>
                </c:pt>
                <c:pt idx="25">
                  <c:v>0.123</c:v>
                </c:pt>
                <c:pt idx="26">
                  <c:v>0.125</c:v>
                </c:pt>
                <c:pt idx="27">
                  <c:v>0.128</c:v>
                </c:pt>
                <c:pt idx="28">
                  <c:v>0.129</c:v>
                </c:pt>
                <c:pt idx="29">
                  <c:v>0.129</c:v>
                </c:pt>
                <c:pt idx="30">
                  <c:v>0.13</c:v>
                </c:pt>
                <c:pt idx="31">
                  <c:v>0.13</c:v>
                </c:pt>
                <c:pt idx="32">
                  <c:v>0.13</c:v>
                </c:pt>
                <c:pt idx="33">
                  <c:v>0.13</c:v>
                </c:pt>
                <c:pt idx="34">
                  <c:v>0.13</c:v>
                </c:pt>
                <c:pt idx="35">
                  <c:v>0.13</c:v>
                </c:pt>
                <c:pt idx="36">
                  <c:v>0.13</c:v>
                </c:pt>
                <c:pt idx="37">
                  <c:v>0.13</c:v>
                </c:pt>
                <c:pt idx="38">
                  <c:v>0.13</c:v>
                </c:pt>
                <c:pt idx="39">
                  <c:v>0.13</c:v>
                </c:pt>
                <c:pt idx="40">
                  <c:v>0.13</c:v>
                </c:pt>
                <c:pt idx="41">
                  <c:v>0.13</c:v>
                </c:pt>
                <c:pt idx="42">
                  <c:v>0.129</c:v>
                </c:pt>
                <c:pt idx="43">
                  <c:v>0.128</c:v>
                </c:pt>
                <c:pt idx="44">
                  <c:v>0.127</c:v>
                </c:pt>
                <c:pt idx="45">
                  <c:v>0.126</c:v>
                </c:pt>
                <c:pt idx="46">
                  <c:v>0.126</c:v>
                </c:pt>
                <c:pt idx="47">
                  <c:v>0.125</c:v>
                </c:pt>
                <c:pt idx="48">
                  <c:v>0.124</c:v>
                </c:pt>
                <c:pt idx="49">
                  <c:v>0.123</c:v>
                </c:pt>
                <c:pt idx="50">
                  <c:v>0.122</c:v>
                </c:pt>
                <c:pt idx="51">
                  <c:v>0.121</c:v>
                </c:pt>
                <c:pt idx="52">
                  <c:v>0.11899999999999999</c:v>
                </c:pt>
                <c:pt idx="53">
                  <c:v>0.11700000000000001</c:v>
                </c:pt>
                <c:pt idx="54">
                  <c:v>0.115</c:v>
                </c:pt>
                <c:pt idx="55">
                  <c:v>0.11</c:v>
                </c:pt>
                <c:pt idx="56">
                  <c:v>0.106</c:v>
                </c:pt>
                <c:pt idx="57">
                  <c:v>0.10199999999999999</c:v>
                </c:pt>
                <c:pt idx="58">
                  <c:v>9.8000000000000004E-2</c:v>
                </c:pt>
                <c:pt idx="59">
                  <c:v>9.2999999999999999E-2</c:v>
                </c:pt>
                <c:pt idx="60">
                  <c:v>8.8999999999999996E-2</c:v>
                </c:pt>
                <c:pt idx="61">
                  <c:v>8.5999999999999993E-2</c:v>
                </c:pt>
                <c:pt idx="62">
                  <c:v>8.1000000000000003E-2</c:v>
                </c:pt>
                <c:pt idx="63">
                  <c:v>7.6999999999999999E-2</c:v>
                </c:pt>
                <c:pt idx="64">
                  <c:v>7.2999999999999995E-2</c:v>
                </c:pt>
                <c:pt idx="65">
                  <c:v>6.8000000000000005E-2</c:v>
                </c:pt>
                <c:pt idx="66">
                  <c:v>6.4000000000000001E-2</c:v>
                </c:pt>
                <c:pt idx="67">
                  <c:v>5.8000000000000003E-2</c:v>
                </c:pt>
                <c:pt idx="68">
                  <c:v>5.1999999999999998E-2</c:v>
                </c:pt>
                <c:pt idx="69">
                  <c:v>4.9000000000000002E-2</c:v>
                </c:pt>
                <c:pt idx="70">
                  <c:v>4.2999999999999997E-2</c:v>
                </c:pt>
                <c:pt idx="71">
                  <c:v>3.6999999999999998E-2</c:v>
                </c:pt>
                <c:pt idx="72">
                  <c:v>3.1E-2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C6-654E-9434-E0B66B1B2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3136255"/>
        <c:axId val="2040052431"/>
      </c:scatterChart>
      <c:valAx>
        <c:axId val="193313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600"/>
                  <a:t>t[s]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2040052431"/>
        <c:crosses val="autoZero"/>
        <c:crossBetween val="midCat"/>
      </c:valAx>
      <c:valAx>
        <c:axId val="2040052431"/>
        <c:scaling>
          <c:orientation val="minMax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2600"/>
                  <a:t>U</a:t>
                </a:r>
                <a:r>
                  <a:rPr lang="en-GB" sz="2600"/>
                  <a:t>[mV]</a:t>
                </a:r>
              </a:p>
            </c:rich>
          </c:tx>
          <c:layout>
            <c:manualLayout>
              <c:xMode val="edge"/>
              <c:yMode val="edge"/>
              <c:x val="1.355465726143343E-2"/>
              <c:y val="0.453693177406078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193313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</a:t>
            </a:r>
            <a:r>
              <a:rPr lang="pl-PL" baseline="0"/>
              <a:t> Uh = f(alfa)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megatron!$B$5:$B$41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megatron!$C$5:$C$41</c:f>
              <c:numCache>
                <c:formatCode>0.000</c:formatCode>
                <c:ptCount val="37"/>
                <c:pt idx="0">
                  <c:v>-1.05</c:v>
                </c:pt>
                <c:pt idx="1">
                  <c:v>24.29</c:v>
                </c:pt>
                <c:pt idx="2">
                  <c:v>50.84</c:v>
                </c:pt>
                <c:pt idx="3">
                  <c:v>75.16</c:v>
                </c:pt>
                <c:pt idx="4">
                  <c:v>93.77</c:v>
                </c:pt>
                <c:pt idx="5">
                  <c:v>112.55</c:v>
                </c:pt>
                <c:pt idx="6">
                  <c:v>126.32</c:v>
                </c:pt>
                <c:pt idx="7">
                  <c:v>135.43</c:v>
                </c:pt>
                <c:pt idx="8">
                  <c:v>141.93</c:v>
                </c:pt>
                <c:pt idx="9">
                  <c:v>144.12</c:v>
                </c:pt>
                <c:pt idx="10">
                  <c:v>141.34</c:v>
                </c:pt>
                <c:pt idx="11">
                  <c:v>135.19</c:v>
                </c:pt>
                <c:pt idx="12">
                  <c:v>124.45</c:v>
                </c:pt>
                <c:pt idx="13">
                  <c:v>108.63</c:v>
                </c:pt>
                <c:pt idx="14">
                  <c:v>91.3</c:v>
                </c:pt>
                <c:pt idx="15">
                  <c:v>71.010000000000005</c:v>
                </c:pt>
                <c:pt idx="16">
                  <c:v>46.92</c:v>
                </c:pt>
                <c:pt idx="17">
                  <c:v>22</c:v>
                </c:pt>
                <c:pt idx="18">
                  <c:v>-4.82</c:v>
                </c:pt>
                <c:pt idx="19" formatCode="0.0000">
                  <c:v>-31.7</c:v>
                </c:pt>
                <c:pt idx="20" formatCode="0.0000">
                  <c:v>-55.75</c:v>
                </c:pt>
                <c:pt idx="21" formatCode="0.0000">
                  <c:v>-81.77</c:v>
                </c:pt>
                <c:pt idx="22">
                  <c:v>-102.31</c:v>
                </c:pt>
                <c:pt idx="23">
                  <c:v>-123.23</c:v>
                </c:pt>
                <c:pt idx="24">
                  <c:v>-136.77000000000001</c:v>
                </c:pt>
                <c:pt idx="25">
                  <c:v>-147.19999999999999</c:v>
                </c:pt>
                <c:pt idx="26">
                  <c:v>-154.66999999999999</c:v>
                </c:pt>
                <c:pt idx="27">
                  <c:v>-156.46</c:v>
                </c:pt>
                <c:pt idx="28">
                  <c:v>-154.16</c:v>
                </c:pt>
                <c:pt idx="29">
                  <c:v>-146.63999999999999</c:v>
                </c:pt>
                <c:pt idx="30">
                  <c:v>-134.38999999999999</c:v>
                </c:pt>
                <c:pt idx="31">
                  <c:v>-120.63</c:v>
                </c:pt>
                <c:pt idx="32">
                  <c:v>-102.26</c:v>
                </c:pt>
                <c:pt idx="33" formatCode="0.0000">
                  <c:v>-78.94</c:v>
                </c:pt>
                <c:pt idx="34" formatCode="0.0000">
                  <c:v>-54.82</c:v>
                </c:pt>
                <c:pt idx="35" formatCode="0.0000">
                  <c:v>-30.44</c:v>
                </c:pt>
                <c:pt idx="36">
                  <c:v>-4.05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D5-3740-860D-1BACE9B7886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 cmpd="sng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30"/>
            <c:backward val="2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L"/>
                </a:p>
              </c:txPr>
            </c:trendlineLbl>
          </c:trendline>
          <c:xVal>
            <c:numRef>
              <c:f>megatron!$AF$5:$AF$16</c:f>
              <c:numCache>
                <c:formatCode>General</c:formatCode>
                <c:ptCount val="12"/>
                <c:pt idx="0">
                  <c:v>120</c:v>
                </c:pt>
                <c:pt idx="1">
                  <c:v>130</c:v>
                </c:pt>
                <c:pt idx="2">
                  <c:v>140</c:v>
                </c:pt>
                <c:pt idx="3">
                  <c:v>150</c:v>
                </c:pt>
                <c:pt idx="4">
                  <c:v>160</c:v>
                </c:pt>
                <c:pt idx="5">
                  <c:v>170</c:v>
                </c:pt>
                <c:pt idx="6">
                  <c:v>180</c:v>
                </c:pt>
                <c:pt idx="7">
                  <c:v>190</c:v>
                </c:pt>
                <c:pt idx="8">
                  <c:v>200</c:v>
                </c:pt>
                <c:pt idx="9">
                  <c:v>210</c:v>
                </c:pt>
                <c:pt idx="10">
                  <c:v>220</c:v>
                </c:pt>
                <c:pt idx="11">
                  <c:v>230</c:v>
                </c:pt>
              </c:numCache>
            </c:numRef>
          </c:xVal>
          <c:yVal>
            <c:numRef>
              <c:f>megatron!$AG$5:$AG$16</c:f>
              <c:numCache>
                <c:formatCode>General</c:formatCode>
                <c:ptCount val="12"/>
                <c:pt idx="0">
                  <c:v>124.45</c:v>
                </c:pt>
                <c:pt idx="1">
                  <c:v>108.63</c:v>
                </c:pt>
                <c:pt idx="2">
                  <c:v>91.3</c:v>
                </c:pt>
                <c:pt idx="3">
                  <c:v>71.010000000000005</c:v>
                </c:pt>
                <c:pt idx="4">
                  <c:v>46.92</c:v>
                </c:pt>
                <c:pt idx="5">
                  <c:v>22</c:v>
                </c:pt>
                <c:pt idx="6">
                  <c:v>-4.82</c:v>
                </c:pt>
                <c:pt idx="7">
                  <c:v>-31.7</c:v>
                </c:pt>
                <c:pt idx="8">
                  <c:v>-55.75</c:v>
                </c:pt>
                <c:pt idx="9">
                  <c:v>-81.77</c:v>
                </c:pt>
                <c:pt idx="10">
                  <c:v>-102.31</c:v>
                </c:pt>
                <c:pt idx="11">
                  <c:v>-123.23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D5-3740-860D-1BACE9B78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5445535"/>
        <c:axId val="2104934735"/>
      </c:scatterChart>
      <c:valAx>
        <c:axId val="2055445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2104934735"/>
        <c:crosses val="autoZero"/>
        <c:crossBetween val="midCat"/>
      </c:valAx>
      <c:valAx>
        <c:axId val="210493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2055445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f(Bn) = Uh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0.01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L"/>
                </a:p>
              </c:txPr>
            </c:trendlineLbl>
          </c:trendline>
          <c:xVal>
            <c:numRef>
              <c:f>megatron!$J$5:$J$41</c:f>
              <c:numCache>
                <c:formatCode>0.000</c:formatCode>
                <c:ptCount val="37"/>
                <c:pt idx="0">
                  <c:v>-2.3647857730276708E-2</c:v>
                </c:pt>
                <c:pt idx="1">
                  <c:v>-0.11001552036485447</c:v>
                </c:pt>
                <c:pt idx="2">
                  <c:v>-0.1930404170836858</c:v>
                </c:pt>
                <c:pt idx="3">
                  <c:v>-0.27019987841259346</c:v>
                </c:pt>
                <c:pt idx="4">
                  <c:v>-0.3391494531636704</c:v>
                </c:pt>
                <c:pt idx="5">
                  <c:v>-0.39779414339827301</c:v>
                </c:pt>
                <c:pt idx="6">
                  <c:v>-0.44435205987926835</c:v>
                </c:pt>
                <c:pt idx="7">
                  <c:v>-0.4774085638738238</c:v>
                </c:pt>
                <c:pt idx="8">
                  <c:v>-0.49595925023546283</c:v>
                </c:pt>
                <c:pt idx="9">
                  <c:v>-0.49944046574618739</c:v>
                </c:pt>
                <c:pt idx="10">
                  <c:v>-0.48774643543428409</c:v>
                </c:pt>
                <c:pt idx="11">
                  <c:v>-0.46123247649331528</c:v>
                </c:pt>
                <c:pt idx="12">
                  <c:v>-0.42070420214899173</c:v>
                </c:pt>
                <c:pt idx="13">
                  <c:v>-0.36739304350896923</c:v>
                </c:pt>
                <c:pt idx="14">
                  <c:v>-0.30291883315177714</c:v>
                </c:pt>
                <c:pt idx="15">
                  <c:v>-0.22924058733359384</c:v>
                </c:pt>
                <c:pt idx="16">
                  <c:v>-0.14859698227061383</c:v>
                </c:pt>
                <c:pt idx="17">
                  <c:v>-6.3438333095042168E-2</c:v>
                </c:pt>
                <c:pt idx="18">
                  <c:v>2.3647857730276646E-2</c:v>
                </c:pt>
                <c:pt idx="19">
                  <c:v>0.11001552036485462</c:v>
                </c:pt>
                <c:pt idx="20">
                  <c:v>0.19304041708368574</c:v>
                </c:pt>
                <c:pt idx="21">
                  <c:v>0.27019987841259363</c:v>
                </c:pt>
                <c:pt idx="22">
                  <c:v>0.33914945316367034</c:v>
                </c:pt>
                <c:pt idx="23">
                  <c:v>0.39779414339827296</c:v>
                </c:pt>
                <c:pt idx="24">
                  <c:v>0.44435205987926829</c:v>
                </c:pt>
                <c:pt idx="25">
                  <c:v>0.47740856387382385</c:v>
                </c:pt>
                <c:pt idx="26">
                  <c:v>0.49595925023546289</c:v>
                </c:pt>
                <c:pt idx="27">
                  <c:v>0.49944046574618739</c:v>
                </c:pt>
                <c:pt idx="28">
                  <c:v>0.48774643543428414</c:v>
                </c:pt>
                <c:pt idx="29">
                  <c:v>0.46123247649331522</c:v>
                </c:pt>
                <c:pt idx="30">
                  <c:v>0.42070420214899168</c:v>
                </c:pt>
                <c:pt idx="31">
                  <c:v>0.36739304350896929</c:v>
                </c:pt>
                <c:pt idx="32">
                  <c:v>0.3029188331517772</c:v>
                </c:pt>
                <c:pt idx="33">
                  <c:v>0.22924058733359409</c:v>
                </c:pt>
                <c:pt idx="34">
                  <c:v>0.14859698227061366</c:v>
                </c:pt>
                <c:pt idx="35">
                  <c:v>6.3438333095042237E-2</c:v>
                </c:pt>
                <c:pt idx="36">
                  <c:v>-2.3647857730276587E-2</c:v>
                </c:pt>
              </c:numCache>
            </c:numRef>
          </c:xVal>
          <c:yVal>
            <c:numRef>
              <c:f>megatron!$C$5:$C$41</c:f>
              <c:numCache>
                <c:formatCode>0.000</c:formatCode>
                <c:ptCount val="37"/>
                <c:pt idx="0">
                  <c:v>-1.05</c:v>
                </c:pt>
                <c:pt idx="1">
                  <c:v>24.29</c:v>
                </c:pt>
                <c:pt idx="2">
                  <c:v>50.84</c:v>
                </c:pt>
                <c:pt idx="3">
                  <c:v>75.16</c:v>
                </c:pt>
                <c:pt idx="4">
                  <c:v>93.77</c:v>
                </c:pt>
                <c:pt idx="5">
                  <c:v>112.55</c:v>
                </c:pt>
                <c:pt idx="6">
                  <c:v>126.32</c:v>
                </c:pt>
                <c:pt idx="7">
                  <c:v>135.43</c:v>
                </c:pt>
                <c:pt idx="8">
                  <c:v>141.93</c:v>
                </c:pt>
                <c:pt idx="9">
                  <c:v>144.12</c:v>
                </c:pt>
                <c:pt idx="10">
                  <c:v>141.34</c:v>
                </c:pt>
                <c:pt idx="11">
                  <c:v>135.19</c:v>
                </c:pt>
                <c:pt idx="12">
                  <c:v>124.45</c:v>
                </c:pt>
                <c:pt idx="13">
                  <c:v>108.63</c:v>
                </c:pt>
                <c:pt idx="14">
                  <c:v>91.3</c:v>
                </c:pt>
                <c:pt idx="15">
                  <c:v>71.010000000000005</c:v>
                </c:pt>
                <c:pt idx="16">
                  <c:v>46.92</c:v>
                </c:pt>
                <c:pt idx="17">
                  <c:v>22</c:v>
                </c:pt>
                <c:pt idx="18">
                  <c:v>-4.82</c:v>
                </c:pt>
                <c:pt idx="19" formatCode="0.0000">
                  <c:v>-31.7</c:v>
                </c:pt>
                <c:pt idx="20" formatCode="0.0000">
                  <c:v>-55.75</c:v>
                </c:pt>
                <c:pt idx="21" formatCode="0.0000">
                  <c:v>-81.77</c:v>
                </c:pt>
                <c:pt idx="22">
                  <c:v>-102.31</c:v>
                </c:pt>
                <c:pt idx="23">
                  <c:v>-123.23</c:v>
                </c:pt>
                <c:pt idx="24">
                  <c:v>-136.77000000000001</c:v>
                </c:pt>
                <c:pt idx="25">
                  <c:v>-147.19999999999999</c:v>
                </c:pt>
                <c:pt idx="26">
                  <c:v>-154.66999999999999</c:v>
                </c:pt>
                <c:pt idx="27">
                  <c:v>-156.46</c:v>
                </c:pt>
                <c:pt idx="28">
                  <c:v>-154.16</c:v>
                </c:pt>
                <c:pt idx="29">
                  <c:v>-146.63999999999999</c:v>
                </c:pt>
                <c:pt idx="30">
                  <c:v>-134.38999999999999</c:v>
                </c:pt>
                <c:pt idx="31">
                  <c:v>-120.63</c:v>
                </c:pt>
                <c:pt idx="32">
                  <c:v>-102.26</c:v>
                </c:pt>
                <c:pt idx="33" formatCode="0.0000">
                  <c:v>-78.94</c:v>
                </c:pt>
                <c:pt idx="34" formatCode="0.0000">
                  <c:v>-54.82</c:v>
                </c:pt>
                <c:pt idx="35" formatCode="0.0000">
                  <c:v>-30.44</c:v>
                </c:pt>
                <c:pt idx="36">
                  <c:v>-4.05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A7-5948-854E-9DAC1B827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324528"/>
        <c:axId val="575326256"/>
      </c:scatterChart>
      <c:valAx>
        <c:axId val="57532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575326256"/>
        <c:crosses val="autoZero"/>
        <c:crossBetween val="midCat"/>
      </c:valAx>
      <c:valAx>
        <c:axId val="57532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57532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Zależność  </a:t>
            </a:r>
            <a:r>
              <a:rPr lang="el-G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Δ</a:t>
            </a: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L/L</a:t>
            </a:r>
            <a:r>
              <a:rPr lang="pl-PL" sz="9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0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= f(</a:t>
            </a:r>
            <a:r>
              <a:rPr lang="el-G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Δ</a:t>
            </a: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) </a:t>
            </a:r>
            <a:endParaRPr lang="en-GB"/>
          </a:p>
        </c:rich>
      </c:tx>
      <c:layout>
        <c:manualLayout>
          <c:xMode val="edge"/>
          <c:yMode val="edge"/>
          <c:x val="0.3928263342082240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5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L"/>
                </a:p>
              </c:txPr>
            </c:trendlineLbl>
          </c:trendline>
          <c:errBars>
            <c:errDir val="y"/>
            <c:errBarType val="both"/>
            <c:errValType val="fixedVal"/>
            <c:noEndCap val="0"/>
            <c:val val="0.0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19050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xVal>
            <c:numRef>
              <c:f>termoGRZALA!$L$5:$L$12</c:f>
              <c:numCache>
                <c:formatCode>0.00</c:formatCode>
                <c:ptCount val="8"/>
                <c:pt idx="0">
                  <c:v>1.3000000000000007</c:v>
                </c:pt>
                <c:pt idx="1">
                  <c:v>4.3000000000000007</c:v>
                </c:pt>
                <c:pt idx="2">
                  <c:v>8.8000000000000007</c:v>
                </c:pt>
                <c:pt idx="3">
                  <c:v>14.3</c:v>
                </c:pt>
                <c:pt idx="4">
                  <c:v>21.099999999999998</c:v>
                </c:pt>
                <c:pt idx="5">
                  <c:v>29.7</c:v>
                </c:pt>
                <c:pt idx="6">
                  <c:v>38</c:v>
                </c:pt>
                <c:pt idx="7">
                  <c:v>49.5</c:v>
                </c:pt>
              </c:numCache>
            </c:numRef>
          </c:xVal>
          <c:yVal>
            <c:numRef>
              <c:f>termoGRZALA!$P$5:$P$12</c:f>
              <c:numCache>
                <c:formatCode>0.0000000</c:formatCode>
                <c:ptCount val="8"/>
                <c:pt idx="0">
                  <c:v>2.2099447513812157E-5</c:v>
                </c:pt>
                <c:pt idx="1">
                  <c:v>4.4198895027624314E-5</c:v>
                </c:pt>
                <c:pt idx="2">
                  <c:v>8.8397790055248627E-5</c:v>
                </c:pt>
                <c:pt idx="3">
                  <c:v>1.8784530386740334E-4</c:v>
                </c:pt>
                <c:pt idx="4">
                  <c:v>2.7624309392265195E-4</c:v>
                </c:pt>
                <c:pt idx="5">
                  <c:v>4.3093922651933701E-4</c:v>
                </c:pt>
                <c:pt idx="6">
                  <c:v>5.8563535911602212E-4</c:v>
                </c:pt>
                <c:pt idx="7">
                  <c:v>7.1823204419889505E-4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C4-A94A-8198-DA4A013CA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7345151"/>
        <c:axId val="1597740975"/>
      </c:scatterChart>
      <c:valAx>
        <c:axId val="1597345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pl-PL"/>
                  <a:t>T [℃]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1597740975"/>
        <c:crosses val="autoZero"/>
        <c:crossBetween val="midCat"/>
      </c:valAx>
      <c:valAx>
        <c:axId val="159774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pl-PL"/>
                  <a:t>L</a:t>
                </a:r>
                <a:r>
                  <a:rPr lang="en-GB"/>
                  <a:t>/Lo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</c:title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1597345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Zależność R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= f(T)</a:t>
            </a: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dla metalu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8"/>
            <c:backward val="2"/>
            <c:dispRSqr val="0"/>
            <c:dispEq val="1"/>
            <c:trendlineLbl>
              <c:layout>
                <c:manualLayout>
                  <c:x val="-3.2827184086995122E-3"/>
                  <c:y val="-5.32399426403060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L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0.6"/>
            <c:spPr>
              <a:noFill/>
              <a:ln w="19050" cap="flat" cmpd="sng" algn="ctr">
                <a:solidFill>
                  <a:schemeClr val="accent4"/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0.4"/>
            <c:spPr>
              <a:noFill/>
              <a:ln w="19050" cap="flat" cmpd="sng" algn="ctr">
                <a:solidFill>
                  <a:schemeClr val="accent6"/>
                </a:solidFill>
                <a:round/>
              </a:ln>
              <a:effectLst/>
            </c:spPr>
          </c:errBars>
          <c:xVal>
            <c:numRef>
              <c:f>GRZAŁA!$C$8:$C$28</c:f>
              <c:numCache>
                <c:formatCode>0.00</c:formatCode>
                <c:ptCount val="21"/>
                <c:pt idx="0">
                  <c:v>21.4</c:v>
                </c:pt>
                <c:pt idx="1">
                  <c:v>25.4</c:v>
                </c:pt>
                <c:pt idx="2">
                  <c:v>28.4</c:v>
                </c:pt>
                <c:pt idx="3">
                  <c:v>31.4</c:v>
                </c:pt>
                <c:pt idx="4">
                  <c:v>34.4</c:v>
                </c:pt>
                <c:pt idx="5">
                  <c:v>37.4</c:v>
                </c:pt>
                <c:pt idx="6">
                  <c:v>40.4</c:v>
                </c:pt>
                <c:pt idx="7">
                  <c:v>43.4</c:v>
                </c:pt>
                <c:pt idx="8">
                  <c:v>46.4</c:v>
                </c:pt>
                <c:pt idx="9">
                  <c:v>49.4</c:v>
                </c:pt>
                <c:pt idx="10">
                  <c:v>52.4</c:v>
                </c:pt>
                <c:pt idx="11">
                  <c:v>55.4</c:v>
                </c:pt>
                <c:pt idx="12">
                  <c:v>58.4</c:v>
                </c:pt>
                <c:pt idx="13">
                  <c:v>61.4</c:v>
                </c:pt>
                <c:pt idx="14">
                  <c:v>64.400000000000006</c:v>
                </c:pt>
                <c:pt idx="15">
                  <c:v>67.400000000000006</c:v>
                </c:pt>
                <c:pt idx="16">
                  <c:v>70.400000000000006</c:v>
                </c:pt>
                <c:pt idx="17">
                  <c:v>73.400000000000006</c:v>
                </c:pt>
                <c:pt idx="18">
                  <c:v>76.400000000000006</c:v>
                </c:pt>
                <c:pt idx="19">
                  <c:v>79.400000000000006</c:v>
                </c:pt>
                <c:pt idx="20">
                  <c:v>82.4</c:v>
                </c:pt>
              </c:numCache>
            </c:numRef>
          </c:xVal>
          <c:yVal>
            <c:numRef>
              <c:f>GRZAŁA!$E$8:$E$28</c:f>
              <c:numCache>
                <c:formatCode>0.00</c:formatCode>
                <c:ptCount val="21"/>
                <c:pt idx="0">
                  <c:v>112.1</c:v>
                </c:pt>
                <c:pt idx="1">
                  <c:v>113.2</c:v>
                </c:pt>
                <c:pt idx="2">
                  <c:v>114.3</c:v>
                </c:pt>
                <c:pt idx="3">
                  <c:v>115.4</c:v>
                </c:pt>
                <c:pt idx="4">
                  <c:v>116.1</c:v>
                </c:pt>
                <c:pt idx="5">
                  <c:v>116.2</c:v>
                </c:pt>
                <c:pt idx="6">
                  <c:v>117.7</c:v>
                </c:pt>
                <c:pt idx="7">
                  <c:v>118.7</c:v>
                </c:pt>
                <c:pt idx="8">
                  <c:v>119.7</c:v>
                </c:pt>
                <c:pt idx="9">
                  <c:v>120.7</c:v>
                </c:pt>
                <c:pt idx="10">
                  <c:v>122.1</c:v>
                </c:pt>
                <c:pt idx="11">
                  <c:v>124</c:v>
                </c:pt>
                <c:pt idx="12">
                  <c:v>125.8</c:v>
                </c:pt>
                <c:pt idx="13">
                  <c:v>127.1</c:v>
                </c:pt>
                <c:pt idx="14">
                  <c:v>128.5</c:v>
                </c:pt>
                <c:pt idx="15">
                  <c:v>130.19999999999999</c:v>
                </c:pt>
                <c:pt idx="16">
                  <c:v>131.6</c:v>
                </c:pt>
                <c:pt idx="17">
                  <c:v>132.5</c:v>
                </c:pt>
                <c:pt idx="18">
                  <c:v>134.1</c:v>
                </c:pt>
                <c:pt idx="19">
                  <c:v>137.19999999999999</c:v>
                </c:pt>
                <c:pt idx="20">
                  <c:v>139.6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6B-F64C-A59D-74C4353EF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236783"/>
        <c:axId val="530520191"/>
      </c:scatterChart>
      <c:valAx>
        <c:axId val="353236783"/>
        <c:scaling>
          <c:orientation val="minMax"/>
          <c:min val="1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530520191"/>
        <c:crosses val="autoZero"/>
        <c:crossBetween val="midCat"/>
      </c:valAx>
      <c:valAx>
        <c:axId val="530520191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R[Ω]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353236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Zależność R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= f(T)</a:t>
            </a: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dla półprzewodnika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PL"/>
        </a:p>
      </c:txPr>
    </c:title>
    <c:autoTitleDeleted val="0"/>
    <c:plotArea>
      <c:layout>
        <c:manualLayout>
          <c:layoutTarget val="inner"/>
          <c:xMode val="edge"/>
          <c:yMode val="edge"/>
          <c:x val="8.9935222743621687E-2"/>
          <c:y val="8.5044417659603522E-2"/>
          <c:w val="0.87336815221329656"/>
          <c:h val="0.8131423336657767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backward val="0.04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L"/>
                </a:p>
              </c:txPr>
            </c:trendlineLbl>
          </c:trendline>
          <c:errBars>
            <c:errDir val="y"/>
            <c:errBarType val="both"/>
            <c:errValType val="fixedVal"/>
            <c:noEndCap val="0"/>
            <c:val val="1E-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.01"/>
            <c:spPr>
              <a:noFill/>
              <a:ln w="19050" cap="flat" cmpd="sng" algn="ctr">
                <a:solidFill>
                  <a:schemeClr val="accent4"/>
                </a:solidFill>
                <a:round/>
              </a:ln>
              <a:effectLst/>
            </c:spPr>
          </c:errBars>
          <c:xVal>
            <c:numRef>
              <c:f>GRZAŁA!$T$8:$T$28</c:f>
              <c:numCache>
                <c:formatCode>0.0000</c:formatCode>
                <c:ptCount val="21"/>
                <c:pt idx="0">
                  <c:v>3.3950093362756752</c:v>
                </c:pt>
                <c:pt idx="1">
                  <c:v>3.3495226930162456</c:v>
                </c:pt>
                <c:pt idx="2">
                  <c:v>3.3161996352180405</c:v>
                </c:pt>
                <c:pt idx="3">
                  <c:v>3.2835330815957975</c:v>
                </c:pt>
                <c:pt idx="4">
                  <c:v>3.2515038205169895</c:v>
                </c:pt>
                <c:pt idx="5">
                  <c:v>3.2200933827080989</c:v>
                </c:pt>
                <c:pt idx="6">
                  <c:v>3.1892840057407117</c:v>
                </c:pt>
                <c:pt idx="7">
                  <c:v>3.1590586005370405</c:v>
                </c:pt>
                <c:pt idx="8">
                  <c:v>3.1294007197621658</c:v>
                </c:pt>
                <c:pt idx="9">
                  <c:v>3.1002945279801586</c:v>
                </c:pt>
                <c:pt idx="10">
                  <c:v>3.0717247734602986</c:v>
                </c:pt>
                <c:pt idx="11">
                  <c:v>3.0436767615279261</c:v>
                </c:pt>
                <c:pt idx="12">
                  <c:v>3.0161363293620878</c:v>
                </c:pt>
                <c:pt idx="13">
                  <c:v>2.9890898221491562</c:v>
                </c:pt>
                <c:pt idx="14">
                  <c:v>2.9625240705080733</c:v>
                </c:pt>
                <c:pt idx="15">
                  <c:v>2.9364263691087951</c:v>
                </c:pt>
                <c:pt idx="16">
                  <c:v>2.9107844564110033</c:v>
                </c:pt>
                <c:pt idx="17">
                  <c:v>2.8855864954552017</c:v>
                </c:pt>
                <c:pt idx="18">
                  <c:v>2.8608210556429698</c:v>
                </c:pt>
                <c:pt idx="19">
                  <c:v>2.8364770954474547</c:v>
                </c:pt>
                <c:pt idx="20">
                  <c:v>2.8125439459991566</c:v>
                </c:pt>
              </c:numCache>
            </c:numRef>
          </c:xVal>
          <c:yVal>
            <c:numRef>
              <c:f>GRZAŁA!$V$8:$V$28</c:f>
              <c:numCache>
                <c:formatCode>0.0000</c:formatCode>
                <c:ptCount val="21"/>
                <c:pt idx="0">
                  <c:v>1.2223065110144409</c:v>
                </c:pt>
                <c:pt idx="1">
                  <c:v>1.2088178559891358</c:v>
                </c:pt>
                <c:pt idx="2">
                  <c:v>1.1988194390851414</c:v>
                </c:pt>
                <c:pt idx="3">
                  <c:v>1.1889200016996435</c:v>
                </c:pt>
                <c:pt idx="4">
                  <c:v>1.1791176033277599</c:v>
                </c:pt>
                <c:pt idx="5">
                  <c:v>1.1694103599768251</c:v>
                </c:pt>
                <c:pt idx="6">
                  <c:v>1.1597964419931073</c:v>
                </c:pt>
                <c:pt idx="7">
                  <c:v>1.1502740719920017</c:v>
                </c:pt>
                <c:pt idx="8">
                  <c:v>1.1408415228858464</c:v>
                </c:pt>
                <c:pt idx="9">
                  <c:v>1.1314971160038865</c:v>
                </c:pt>
                <c:pt idx="10">
                  <c:v>1.1222392192992663</c:v>
                </c:pt>
                <c:pt idx="11">
                  <c:v>1.1130662456382603</c:v>
                </c:pt>
                <c:pt idx="12">
                  <c:v>1.1039766511672606</c:v>
                </c:pt>
                <c:pt idx="13">
                  <c:v>1.0949689337533113</c:v>
                </c:pt>
                <c:pt idx="14">
                  <c:v>1.0860416314942578</c:v>
                </c:pt>
                <c:pt idx="15">
                  <c:v>1.0771933212948099</c:v>
                </c:pt>
                <c:pt idx="16">
                  <c:v>1.0684226175050522</c:v>
                </c:pt>
                <c:pt idx="17">
                  <c:v>1.0597281706181436</c:v>
                </c:pt>
                <c:pt idx="18">
                  <c:v>1.0511086660241431</c:v>
                </c:pt>
                <c:pt idx="19">
                  <c:v>1.0425628228170876</c:v>
                </c:pt>
                <c:pt idx="20">
                  <c:v>1.0340893926526102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CE-CD4B-9968-21F773426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184863"/>
        <c:axId val="1074146687"/>
      </c:scatterChart>
      <c:valAx>
        <c:axId val="739184863"/>
        <c:scaling>
          <c:orientation val="minMax"/>
          <c:min val="2.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T[1/K]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1074146687"/>
        <c:crosses val="autoZero"/>
        <c:crossBetween val="midCat"/>
      </c:valAx>
      <c:valAx>
        <c:axId val="107414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73918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Zależność R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= f(</a:t>
            </a: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) dla metalu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8"/>
            <c:backward val="2"/>
            <c:dispRSqr val="0"/>
            <c:dispEq val="1"/>
            <c:trendlineLbl>
              <c:layout>
                <c:manualLayout>
                  <c:x val="-3.2827184086995122E-3"/>
                  <c:y val="-5.32399426403060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L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0.6"/>
            <c:spPr>
              <a:noFill/>
              <a:ln w="19050" cap="flat" cmpd="sng" algn="ctr">
                <a:solidFill>
                  <a:schemeClr val="accent4"/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0.4"/>
            <c:spPr>
              <a:noFill/>
              <a:ln w="19050" cap="flat" cmpd="sng" algn="ctr">
                <a:solidFill>
                  <a:schemeClr val="accent6"/>
                </a:solidFill>
                <a:round/>
              </a:ln>
              <a:effectLst/>
            </c:spPr>
          </c:errBars>
          <c:xVal>
            <c:numRef>
              <c:f>'CO NA GRZAŁE WARIACIE'!$C$8:$C$28</c:f>
              <c:numCache>
                <c:formatCode>0.00</c:formatCode>
                <c:ptCount val="21"/>
                <c:pt idx="0">
                  <c:v>21.4</c:v>
                </c:pt>
                <c:pt idx="1">
                  <c:v>25.4</c:v>
                </c:pt>
                <c:pt idx="2">
                  <c:v>28.4</c:v>
                </c:pt>
                <c:pt idx="3">
                  <c:v>31.4</c:v>
                </c:pt>
                <c:pt idx="4">
                  <c:v>34.4</c:v>
                </c:pt>
                <c:pt idx="5">
                  <c:v>37.4</c:v>
                </c:pt>
                <c:pt idx="6">
                  <c:v>40.4</c:v>
                </c:pt>
                <c:pt idx="7">
                  <c:v>43.4</c:v>
                </c:pt>
                <c:pt idx="8">
                  <c:v>46.4</c:v>
                </c:pt>
                <c:pt idx="9">
                  <c:v>49.4</c:v>
                </c:pt>
                <c:pt idx="10">
                  <c:v>52.4</c:v>
                </c:pt>
                <c:pt idx="11">
                  <c:v>55.4</c:v>
                </c:pt>
                <c:pt idx="12">
                  <c:v>58.4</c:v>
                </c:pt>
                <c:pt idx="13">
                  <c:v>61.4</c:v>
                </c:pt>
                <c:pt idx="14">
                  <c:v>64.400000000000006</c:v>
                </c:pt>
                <c:pt idx="15">
                  <c:v>67.400000000000006</c:v>
                </c:pt>
                <c:pt idx="16">
                  <c:v>70.400000000000006</c:v>
                </c:pt>
                <c:pt idx="17">
                  <c:v>73.400000000000006</c:v>
                </c:pt>
                <c:pt idx="18">
                  <c:v>76.400000000000006</c:v>
                </c:pt>
                <c:pt idx="19">
                  <c:v>79.400000000000006</c:v>
                </c:pt>
                <c:pt idx="20">
                  <c:v>82.4</c:v>
                </c:pt>
              </c:numCache>
            </c:numRef>
          </c:xVal>
          <c:yVal>
            <c:numRef>
              <c:f>'CO NA GRZAŁE WARIACIE'!$E$8:$E$28</c:f>
              <c:numCache>
                <c:formatCode>0.00</c:formatCode>
                <c:ptCount val="21"/>
                <c:pt idx="0">
                  <c:v>112.1</c:v>
                </c:pt>
                <c:pt idx="1">
                  <c:v>113.2</c:v>
                </c:pt>
                <c:pt idx="2">
                  <c:v>114.3</c:v>
                </c:pt>
                <c:pt idx="3">
                  <c:v>115.4</c:v>
                </c:pt>
                <c:pt idx="4">
                  <c:v>116.1</c:v>
                </c:pt>
                <c:pt idx="5">
                  <c:v>116.2</c:v>
                </c:pt>
                <c:pt idx="6">
                  <c:v>117.7</c:v>
                </c:pt>
                <c:pt idx="7">
                  <c:v>118.7</c:v>
                </c:pt>
                <c:pt idx="8">
                  <c:v>119.7</c:v>
                </c:pt>
                <c:pt idx="9">
                  <c:v>120.7</c:v>
                </c:pt>
                <c:pt idx="10">
                  <c:v>122.1</c:v>
                </c:pt>
                <c:pt idx="11">
                  <c:v>124</c:v>
                </c:pt>
                <c:pt idx="12">
                  <c:v>125.8</c:v>
                </c:pt>
                <c:pt idx="13">
                  <c:v>127.1</c:v>
                </c:pt>
                <c:pt idx="14">
                  <c:v>128.5</c:v>
                </c:pt>
                <c:pt idx="15">
                  <c:v>130.19999999999999</c:v>
                </c:pt>
                <c:pt idx="16">
                  <c:v>131.6</c:v>
                </c:pt>
                <c:pt idx="17">
                  <c:v>132.5</c:v>
                </c:pt>
                <c:pt idx="18">
                  <c:v>134.1</c:v>
                </c:pt>
                <c:pt idx="19">
                  <c:v>137.19999999999999</c:v>
                </c:pt>
                <c:pt idx="20">
                  <c:v>139.6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17-49DF-AFC5-786313AA4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236783"/>
        <c:axId val="530520191"/>
      </c:scatterChart>
      <c:valAx>
        <c:axId val="353236783"/>
        <c:scaling>
          <c:orientation val="minMax"/>
          <c:min val="1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</a:t>
                </a:r>
                <a:r>
                  <a:rPr lang="en-GB"/>
                  <a:t>(℃)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530520191"/>
        <c:crosses val="autoZero"/>
        <c:crossBetween val="midCat"/>
      </c:valAx>
      <c:valAx>
        <c:axId val="530520191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</a:t>
                </a:r>
                <a:r>
                  <a:rPr lang="en-GB" sz="900"/>
                  <a:t>M</a:t>
                </a:r>
                <a:r>
                  <a:rPr lang="en-GB"/>
                  <a:t>[Ω]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353236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Zależność ln(R</a:t>
            </a:r>
            <a:r>
              <a:rPr lang="pl-PL" sz="14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P</a:t>
            </a: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)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= f(</a:t>
            </a: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1000/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T)</a:t>
            </a: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dla półprzewodnika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backward val="0.09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L"/>
                </a:p>
              </c:txPr>
            </c:trendlineLbl>
          </c:trendline>
          <c:errBars>
            <c:errDir val="y"/>
            <c:errBarType val="both"/>
            <c:errValType val="fixedVal"/>
            <c:noEndCap val="0"/>
            <c:val val="1E-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.01"/>
            <c:spPr>
              <a:noFill/>
              <a:ln w="19050" cap="flat" cmpd="sng" algn="ctr">
                <a:solidFill>
                  <a:schemeClr val="accent4"/>
                </a:solidFill>
                <a:round/>
              </a:ln>
              <a:effectLst/>
            </c:spPr>
          </c:errBars>
          <c:xVal>
            <c:numRef>
              <c:f>'CO NA GRZAŁE WARIACIE'!$T$8:$T$28</c:f>
              <c:numCache>
                <c:formatCode>0.0000</c:formatCode>
                <c:ptCount val="21"/>
                <c:pt idx="0">
                  <c:v>3.3950093362756752</c:v>
                </c:pt>
                <c:pt idx="1">
                  <c:v>3.3495226930162456</c:v>
                </c:pt>
                <c:pt idx="2">
                  <c:v>3.3161996352180405</c:v>
                </c:pt>
                <c:pt idx="3">
                  <c:v>3.2835330815957975</c:v>
                </c:pt>
                <c:pt idx="4">
                  <c:v>3.2515038205169895</c:v>
                </c:pt>
                <c:pt idx="5">
                  <c:v>3.2200933827080989</c:v>
                </c:pt>
                <c:pt idx="6">
                  <c:v>3.1892840057407117</c:v>
                </c:pt>
                <c:pt idx="7">
                  <c:v>3.1590586005370405</c:v>
                </c:pt>
                <c:pt idx="8">
                  <c:v>3.1294007197621658</c:v>
                </c:pt>
                <c:pt idx="9">
                  <c:v>3.1002945279801586</c:v>
                </c:pt>
                <c:pt idx="10">
                  <c:v>3.0717247734602986</c:v>
                </c:pt>
                <c:pt idx="11">
                  <c:v>3.0436767615279261</c:v>
                </c:pt>
                <c:pt idx="12">
                  <c:v>3.0161363293620878</c:v>
                </c:pt>
                <c:pt idx="13">
                  <c:v>2.9890898221491562</c:v>
                </c:pt>
                <c:pt idx="14">
                  <c:v>2.9625240705080733</c:v>
                </c:pt>
                <c:pt idx="15">
                  <c:v>2.9364263691087951</c:v>
                </c:pt>
                <c:pt idx="16">
                  <c:v>2.9107844564110033</c:v>
                </c:pt>
                <c:pt idx="17">
                  <c:v>2.8855864954552017</c:v>
                </c:pt>
                <c:pt idx="18">
                  <c:v>2.8608210556429698</c:v>
                </c:pt>
                <c:pt idx="19">
                  <c:v>2.8364770954474547</c:v>
                </c:pt>
                <c:pt idx="20">
                  <c:v>2.8125439459991566</c:v>
                </c:pt>
              </c:numCache>
            </c:numRef>
          </c:xVal>
          <c:yVal>
            <c:numRef>
              <c:f>'CO NA GRZAŁE WARIACIE'!$V$8:$V$28</c:f>
              <c:numCache>
                <c:formatCode>0.0000</c:formatCode>
                <c:ptCount val="21"/>
                <c:pt idx="0">
                  <c:v>2.8302678338264591</c:v>
                </c:pt>
                <c:pt idx="1">
                  <c:v>2.7536607123542622</c:v>
                </c:pt>
                <c:pt idx="2">
                  <c:v>2.631888840136646</c:v>
                </c:pt>
                <c:pt idx="3">
                  <c:v>2.5416019934645457</c:v>
                </c:pt>
                <c:pt idx="4">
                  <c:v>2.5289235352047745</c:v>
                </c:pt>
                <c:pt idx="5">
                  <c:v>2.4239173781615704</c:v>
                </c:pt>
                <c:pt idx="6">
                  <c:v>2.2884861686145439</c:v>
                </c:pt>
                <c:pt idx="7">
                  <c:v>2.1972245773362196</c:v>
                </c:pt>
                <c:pt idx="8">
                  <c:v>2.1041341542702074</c:v>
                </c:pt>
                <c:pt idx="9">
                  <c:v>2.0756844928021239</c:v>
                </c:pt>
                <c:pt idx="10">
                  <c:v>1.9300710850255671</c:v>
                </c:pt>
                <c:pt idx="11">
                  <c:v>1.7509374747077999</c:v>
                </c:pt>
                <c:pt idx="12">
                  <c:v>1.5993875765805989</c:v>
                </c:pt>
                <c:pt idx="13">
                  <c:v>1.4838746894587547</c:v>
                </c:pt>
                <c:pt idx="14">
                  <c:v>1.3609765531356006</c:v>
                </c:pt>
                <c:pt idx="15">
                  <c:v>1.2119409739751128</c:v>
                </c:pt>
                <c:pt idx="16">
                  <c:v>1.0986122886681098</c:v>
                </c:pt>
                <c:pt idx="17">
                  <c:v>0.96698384618967315</c:v>
                </c:pt>
                <c:pt idx="18">
                  <c:v>0.82855181756614826</c:v>
                </c:pt>
                <c:pt idx="19">
                  <c:v>0.66268797307523675</c:v>
                </c:pt>
                <c:pt idx="20">
                  <c:v>0.53649337051456847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5B-42A5-8812-C589E0F23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184863"/>
        <c:axId val="1074146687"/>
      </c:scatterChart>
      <c:valAx>
        <c:axId val="739184863"/>
        <c:scaling>
          <c:orientation val="minMax"/>
          <c:min val="2.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T[1/K]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1074146687"/>
        <c:crosses val="autoZero"/>
        <c:crossBetween val="midCat"/>
      </c:valAx>
      <c:valAx>
        <c:axId val="107414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baseline="0">
                    <a:effectLst/>
                  </a:rPr>
                  <a:t>ln(R</a:t>
                </a:r>
                <a:r>
                  <a:rPr lang="pl-PL" sz="1000" b="0" i="0" u="none" strike="noStrike" baseline="-25000">
                    <a:effectLst/>
                  </a:rPr>
                  <a:t>P</a:t>
                </a:r>
                <a:r>
                  <a:rPr lang="pl-PL" sz="1000" b="0" i="0" u="none" strike="noStrike" baseline="0"/>
                  <a:t> 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73918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788706</xdr:colOff>
      <xdr:row>25</xdr:row>
      <xdr:rowOff>146530</xdr:rowOff>
    </xdr:from>
    <xdr:to>
      <xdr:col>15</xdr:col>
      <xdr:colOff>74839</xdr:colOff>
      <xdr:row>50</xdr:row>
      <xdr:rowOff>142876</xdr:rowOff>
    </xdr:to>
    <xdr:graphicFrame macro="">
      <xdr:nvGraphicFramePr>
        <xdr:cNvPr id="280" name="Chart 1">
          <a:extLst>
            <a:ext uri="{FF2B5EF4-FFF2-40B4-BE49-F238E27FC236}">
              <a16:creationId xmlns:a16="http://schemas.microsoft.com/office/drawing/2014/main" id="{69C952BC-B5BE-1A32-0750-4D00DEF17E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349250</xdr:colOff>
      <xdr:row>4</xdr:row>
      <xdr:rowOff>76200</xdr:rowOff>
    </xdr:from>
    <xdr:to>
      <xdr:col>15</xdr:col>
      <xdr:colOff>63500</xdr:colOff>
      <xdr:row>20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99CDD6-CD34-9104-B466-C7139CDAE5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415636</xdr:colOff>
      <xdr:row>3</xdr:row>
      <xdr:rowOff>129888</xdr:rowOff>
    </xdr:from>
    <xdr:to>
      <xdr:col>24</xdr:col>
      <xdr:colOff>685800</xdr:colOff>
      <xdr:row>26</xdr:row>
      <xdr:rowOff>219076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455A7C-7D1B-4138-DE18-B0A953E554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33</xdr:col>
      <xdr:colOff>25400</xdr:colOff>
      <xdr:row>28</xdr:row>
      <xdr:rowOff>228600</xdr:rowOff>
    </xdr:from>
    <xdr:to>
      <xdr:col>37</xdr:col>
      <xdr:colOff>132538</xdr:colOff>
      <xdr:row>63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2A6F18-03C2-4983-97F2-1CC62EBCF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038800" y="8051800"/>
          <a:ext cx="3459938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707231</xdr:colOff>
      <xdr:row>42</xdr:row>
      <xdr:rowOff>107156</xdr:rowOff>
    </xdr:from>
    <xdr:to>
      <xdr:col>8</xdr:col>
      <xdr:colOff>932656</xdr:colOff>
      <xdr:row>63</xdr:row>
      <xdr:rowOff>119063</xdr:rowOff>
    </xdr:to>
    <xdr:graphicFrame macro="">
      <xdr:nvGraphicFramePr>
        <xdr:cNvPr id="71" name="Chart 1">
          <a:extLst>
            <a:ext uri="{FF2B5EF4-FFF2-40B4-BE49-F238E27FC236}">
              <a16:creationId xmlns:a16="http://schemas.microsoft.com/office/drawing/2014/main" id="{98F5AD8F-13C0-625E-E5CA-3B8E52661B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42826</xdr:colOff>
      <xdr:row>42</xdr:row>
      <xdr:rowOff>143869</xdr:rowOff>
    </xdr:from>
    <xdr:to>
      <xdr:col>18</xdr:col>
      <xdr:colOff>679703</xdr:colOff>
      <xdr:row>63</xdr:row>
      <xdr:rowOff>167472</xdr:rowOff>
    </xdr:to>
    <xdr:graphicFrame macro="">
      <xdr:nvGraphicFramePr>
        <xdr:cNvPr id="69" name="Chart 47">
          <a:extLst>
            <a:ext uri="{FF2B5EF4-FFF2-40B4-BE49-F238E27FC236}">
              <a16:creationId xmlns:a16="http://schemas.microsoft.com/office/drawing/2014/main" id="{17FD1307-4F63-6D16-5DBA-2E54CEE673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361950</xdr:colOff>
      <xdr:row>14</xdr:row>
      <xdr:rowOff>184150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D55A60-1E37-A2D1-21F8-9E2B2D92589E}"/>
            </a:ext>
          </a:extLst>
        </xdr:cNvPr>
        <xdr:cNvSpPr txBox="1"/>
      </xdr:nvSpPr>
      <xdr:spPr>
        <a:xfrm>
          <a:off x="8616950" y="3028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twoCellAnchor>
    <xdr:from>
      <xdr:col>13</xdr:col>
      <xdr:colOff>209550</xdr:colOff>
      <xdr:row>14</xdr:row>
      <xdr:rowOff>107949</xdr:rowOff>
    </xdr:from>
    <xdr:to>
      <xdr:col>22</xdr:col>
      <xdr:colOff>409575</xdr:colOff>
      <xdr:row>37</xdr:row>
      <xdr:rowOff>9525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D97A11F6-58BC-7FA4-804B-8AA9F97FB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514349</xdr:colOff>
      <xdr:row>37</xdr:row>
      <xdr:rowOff>133350</xdr:rowOff>
    </xdr:from>
    <xdr:to>
      <xdr:col>11</xdr:col>
      <xdr:colOff>479425</xdr:colOff>
      <xdr:row>66</xdr:row>
      <xdr:rowOff>0</xdr:rowOff>
    </xdr:to>
    <xdr:graphicFrame macro="">
      <xdr:nvGraphicFramePr>
        <xdr:cNvPr id="11" name="Chart 1">
          <a:extLst>
            <a:ext uri="{FF2B5EF4-FFF2-40B4-BE49-F238E27FC236}">
              <a16:creationId xmlns:a16="http://schemas.microsoft.com/office/drawing/2014/main" id="{D729058B-438F-25F2-93D4-E3F3FA85E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6350</xdr:colOff>
      <xdr:row>38</xdr:row>
      <xdr:rowOff>25400</xdr:rowOff>
    </xdr:from>
    <xdr:to>
      <xdr:col>22</xdr:col>
      <xdr:colOff>785812</xdr:colOff>
      <xdr:row>66</xdr:row>
      <xdr:rowOff>7938</xdr:rowOff>
    </xdr:to>
    <xdr:graphicFrame macro="">
      <xdr:nvGraphicFramePr>
        <xdr:cNvPr id="10" name="Chart 2">
          <a:extLst>
            <a:ext uri="{FF2B5EF4-FFF2-40B4-BE49-F238E27FC236}">
              <a16:creationId xmlns:a16="http://schemas.microsoft.com/office/drawing/2014/main" id="{DF98A36D-518D-03CE-7339-C6B565BB84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514349</xdr:colOff>
      <xdr:row>37</xdr:row>
      <xdr:rowOff>133350</xdr:rowOff>
    </xdr:from>
    <xdr:to>
      <xdr:col>11</xdr:col>
      <xdr:colOff>479425</xdr:colOff>
      <xdr:row>66</xdr:row>
      <xdr:rowOff>0</xdr:rowOff>
    </xdr:to>
    <xdr:graphicFrame macro="">
      <xdr:nvGraphicFramePr>
        <xdr:cNvPr id="36" name="Chart 1">
          <a:extLst>
            <a:ext uri="{FF2B5EF4-FFF2-40B4-BE49-F238E27FC236}">
              <a16:creationId xmlns:a16="http://schemas.microsoft.com/office/drawing/2014/main" id="{3CDFFA1C-14C1-4FD3-A2A1-DF45105736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410210</xdr:colOff>
      <xdr:row>38</xdr:row>
      <xdr:rowOff>17780</xdr:rowOff>
    </xdr:from>
    <xdr:to>
      <xdr:col>21</xdr:col>
      <xdr:colOff>911860</xdr:colOff>
      <xdr:row>63</xdr:row>
      <xdr:rowOff>163830</xdr:rowOff>
    </xdr:to>
    <xdr:graphicFrame macro="">
      <xdr:nvGraphicFramePr>
        <xdr:cNvPr id="21" name="Chart 2">
          <a:extLst>
            <a:ext uri="{FF2B5EF4-FFF2-40B4-BE49-F238E27FC236}">
              <a16:creationId xmlns:a16="http://schemas.microsoft.com/office/drawing/2014/main" id="{76C30556-12C2-46F5-ADBD-B7C84E8108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D8459BE-8D47-684D-9DA9-CBF3A349A951}">
  <we:reference id="e849ddb8-6bbd-4833-bd4b-59030099d63e" version="1.0.0.0" store="EXCatalog" storeType="EXCatalog"/>
  <we:alternateReferences>
    <we:reference id="WA200000113" version="1.0.0.0" store="pl-PL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FBBD0-A097-BD44-9B4D-330C35221098}">
  <dimension ref="B6:Z39"/>
  <sheetViews>
    <sheetView topLeftCell="H1" zoomScaleNormal="140" workbookViewId="0">
      <selection activeCell="J7" sqref="J7"/>
    </sheetView>
  </sheetViews>
  <sheetFormatPr baseColWidth="10" defaultColWidth="11" defaultRowHeight="16" x14ac:dyDescent="0.2"/>
  <cols>
    <col min="4" max="4" width="9.33203125" bestFit="1" customWidth="1"/>
    <col min="5" max="5" width="8.6640625" style="1" bestFit="1" customWidth="1"/>
    <col min="6" max="6" width="9.33203125" bestFit="1" customWidth="1"/>
    <col min="7" max="7" width="7.1640625" bestFit="1" customWidth="1"/>
    <col min="8" max="8" width="15.6640625" bestFit="1" customWidth="1"/>
    <col min="9" max="9" width="7.1640625" bestFit="1" customWidth="1"/>
    <col min="10" max="10" width="30.6640625" bestFit="1" customWidth="1"/>
    <col min="11" max="11" width="8.1640625" bestFit="1" customWidth="1"/>
    <col min="12" max="12" width="15.6640625" bestFit="1" customWidth="1"/>
    <col min="13" max="13" width="6.6640625" bestFit="1" customWidth="1"/>
    <col min="14" max="14" width="22.6640625" bestFit="1" customWidth="1"/>
    <col min="15" max="15" width="8.5" bestFit="1" customWidth="1"/>
  </cols>
  <sheetData>
    <row r="6" spans="4:15" ht="17" thickBot="1" x14ac:dyDescent="0.25"/>
    <row r="7" spans="4:15" ht="70.5" customHeight="1" x14ac:dyDescent="0.2">
      <c r="D7" s="26" t="s">
        <v>10</v>
      </c>
      <c r="E7" s="27" t="s">
        <v>11</v>
      </c>
      <c r="F7" s="28" t="s">
        <v>12</v>
      </c>
      <c r="G7" s="28" t="s">
        <v>13</v>
      </c>
      <c r="H7" s="28" t="s">
        <v>14</v>
      </c>
      <c r="I7" s="28" t="s">
        <v>15</v>
      </c>
      <c r="J7" s="28" t="s">
        <v>16</v>
      </c>
      <c r="K7" s="28" t="s">
        <v>17</v>
      </c>
      <c r="L7" s="28" t="s">
        <v>18</v>
      </c>
      <c r="M7" s="28" t="s">
        <v>19</v>
      </c>
      <c r="N7" s="28" t="s">
        <v>20</v>
      </c>
      <c r="O7" s="29" t="s">
        <v>21</v>
      </c>
    </row>
    <row r="8" spans="4:15" ht="40.5" customHeight="1" thickBot="1" x14ac:dyDescent="0.25">
      <c r="D8" s="30">
        <v>126.3</v>
      </c>
      <c r="E8" s="31">
        <f>(0.008*D8+0.3)/SQRT(3)</f>
        <v>0.75655979274608565</v>
      </c>
      <c r="F8" s="31">
        <v>163.1</v>
      </c>
      <c r="G8" s="31">
        <f>(0.008*F8+0.1)/SQRT(3)</f>
        <v>0.81106165815758635</v>
      </c>
      <c r="H8" s="32">
        <v>288</v>
      </c>
      <c r="I8" s="31">
        <f>(0.008*H8+0.3)/SQRT(3)</f>
        <v>1.5034201009697856</v>
      </c>
      <c r="J8" s="31">
        <v>289.39999999999998</v>
      </c>
      <c r="K8" s="31">
        <f>SQRT(E8^2+G8^2)</f>
        <v>1.1091454969179353</v>
      </c>
      <c r="L8" s="31">
        <v>71.2</v>
      </c>
      <c r="M8" s="31">
        <v>0.51</v>
      </c>
      <c r="N8" s="31">
        <v>71.180131000000003</v>
      </c>
      <c r="O8" s="33">
        <v>0.3</v>
      </c>
    </row>
    <row r="14" spans="4:15" ht="17" thickBot="1" x14ac:dyDescent="0.25"/>
    <row r="15" spans="4:15" ht="19" thickBot="1" x14ac:dyDescent="0.25">
      <c r="D15" s="17" t="s">
        <v>1</v>
      </c>
      <c r="E15" s="18" t="s">
        <v>2</v>
      </c>
      <c r="F15" s="19" t="s">
        <v>3</v>
      </c>
      <c r="G15" s="19" t="s">
        <v>4</v>
      </c>
      <c r="H15" s="19" t="s">
        <v>5</v>
      </c>
      <c r="I15" s="19" t="s">
        <v>0</v>
      </c>
      <c r="J15" s="20" t="s">
        <v>6</v>
      </c>
    </row>
    <row r="16" spans="4:15" x14ac:dyDescent="0.2">
      <c r="D16" s="23">
        <v>1</v>
      </c>
      <c r="E16" s="21">
        <v>3.25</v>
      </c>
      <c r="F16" s="15">
        <f>(0.005*E16+0.1)/SQRT(3)</f>
        <v>6.7116968793293999E-2</v>
      </c>
      <c r="G16" s="16">
        <v>10.85</v>
      </c>
      <c r="H16" s="14">
        <f t="shared" ref="H16:H21" si="0">(0.008*G16+0.1)/SQRT(3)</f>
        <v>0.10784903028462212</v>
      </c>
      <c r="I16" s="14">
        <f t="shared" ref="I16:I21" si="1">E16*1000/G16</f>
        <v>299.53917050691246</v>
      </c>
      <c r="J16" s="14">
        <v>0.68651538304482895</v>
      </c>
    </row>
    <row r="17" spans="2:26" x14ac:dyDescent="0.2">
      <c r="D17" s="24">
        <v>2</v>
      </c>
      <c r="E17" s="22">
        <v>4.72</v>
      </c>
      <c r="F17" s="12">
        <f>(0.005*E17+0.02)/SQRT(3)</f>
        <v>2.5172471736667684E-2</v>
      </c>
      <c r="G17" s="13">
        <v>15.77</v>
      </c>
      <c r="H17" s="11">
        <f t="shared" si="0"/>
        <v>0.13057353687992576</v>
      </c>
      <c r="I17" s="11">
        <f t="shared" si="1"/>
        <v>299.3024730500951</v>
      </c>
      <c r="J17" s="11">
        <v>0.51592384099310595</v>
      </c>
    </row>
    <row r="18" spans="2:26" ht="18" x14ac:dyDescent="0.2">
      <c r="D18" s="24">
        <v>3</v>
      </c>
      <c r="E18" s="22">
        <v>6.27</v>
      </c>
      <c r="F18" s="12">
        <f>(0.005*E18+0.07)/SQRT(3)</f>
        <v>5.8514449782368569E-2</v>
      </c>
      <c r="G18" s="11">
        <v>21.4</v>
      </c>
      <c r="H18" s="11">
        <f t="shared" si="0"/>
        <v>0.15657739300422652</v>
      </c>
      <c r="I18" s="11">
        <f t="shared" si="1"/>
        <v>292.99065420560748</v>
      </c>
      <c r="J18" s="11">
        <v>0.41416533602522698</v>
      </c>
      <c r="T18" s="2" t="s">
        <v>1</v>
      </c>
      <c r="U18" s="3" t="s">
        <v>2</v>
      </c>
      <c r="V18" s="4" t="s">
        <v>3</v>
      </c>
      <c r="W18" s="4" t="s">
        <v>4</v>
      </c>
      <c r="X18" s="4" t="s">
        <v>5</v>
      </c>
      <c r="Y18" s="4" t="s">
        <v>0</v>
      </c>
      <c r="Z18" s="4" t="s">
        <v>7</v>
      </c>
    </row>
    <row r="19" spans="2:26" x14ac:dyDescent="0.2">
      <c r="D19" s="24">
        <v>4</v>
      </c>
      <c r="E19" s="22">
        <v>7.79</v>
      </c>
      <c r="F19" s="12">
        <f>(0.005*E19+0.09)/SQRT(3)</f>
        <v>7.444931721200225E-2</v>
      </c>
      <c r="G19" s="11">
        <v>26.7</v>
      </c>
      <c r="H19" s="11">
        <f t="shared" si="0"/>
        <v>0.18105704441786666</v>
      </c>
      <c r="I19" s="11">
        <f t="shared" si="1"/>
        <v>291.76029962546818</v>
      </c>
      <c r="J19" s="11">
        <v>0.35974964577098301</v>
      </c>
      <c r="T19" s="5">
        <v>1</v>
      </c>
      <c r="U19" s="6">
        <v>3.25</v>
      </c>
      <c r="V19" s="7">
        <v>6.7000000000000004E-2</v>
      </c>
      <c r="W19" s="8">
        <f t="shared" ref="W19:X24" si="2">0.001*G16</f>
        <v>1.085E-2</v>
      </c>
      <c r="X19" s="10">
        <f t="shared" si="2"/>
        <v>1.0784903028462212E-4</v>
      </c>
      <c r="Y19" s="9">
        <v>0.29949999999999999</v>
      </c>
      <c r="Z19" s="9">
        <v>6.8999999999999999E-3</v>
      </c>
    </row>
    <row r="20" spans="2:26" x14ac:dyDescent="0.2">
      <c r="D20" s="24">
        <v>5</v>
      </c>
      <c r="E20" s="22">
        <v>9.44</v>
      </c>
      <c r="F20" s="12">
        <f>(0.005*E20+0.04)/SQRT(3)</f>
        <v>5.0344943473335367E-2</v>
      </c>
      <c r="G20" s="11">
        <v>32.299999999999997</v>
      </c>
      <c r="H20" s="11">
        <f t="shared" si="0"/>
        <v>0.20692233647756186</v>
      </c>
      <c r="I20" s="11">
        <f t="shared" si="1"/>
        <v>292.26006191950466</v>
      </c>
      <c r="J20" s="11">
        <v>0.32293047900378702</v>
      </c>
      <c r="T20" s="5">
        <v>2</v>
      </c>
      <c r="U20" s="6">
        <v>4.72</v>
      </c>
      <c r="V20" s="7">
        <v>7.0999999999999994E-2</v>
      </c>
      <c r="W20" s="8">
        <f t="shared" si="2"/>
        <v>1.5769999999999999E-2</v>
      </c>
      <c r="X20" s="10">
        <f t="shared" si="2"/>
        <v>1.3057353687992576E-4</v>
      </c>
      <c r="Y20" s="9">
        <v>0.29930000000000001</v>
      </c>
      <c r="Z20" s="9">
        <v>5.1999999999999998E-3</v>
      </c>
    </row>
    <row r="21" spans="2:26" ht="17" thickBot="1" x14ac:dyDescent="0.25">
      <c r="D21" s="25">
        <v>6</v>
      </c>
      <c r="E21" s="22">
        <v>12.26</v>
      </c>
      <c r="F21" s="12">
        <f>(0.005*E21+0.06)/SQRT(3)</f>
        <v>7.0032587652701608E-2</v>
      </c>
      <c r="G21" s="11">
        <v>42</v>
      </c>
      <c r="H21" s="11">
        <f t="shared" si="0"/>
        <v>0.2517247173666769</v>
      </c>
      <c r="I21" s="11">
        <f t="shared" si="1"/>
        <v>291.90476190476193</v>
      </c>
      <c r="J21" s="11">
        <v>0.282439781171475</v>
      </c>
      <c r="T21" s="5">
        <v>3</v>
      </c>
      <c r="U21" s="6">
        <v>6.27</v>
      </c>
      <c r="V21" s="7">
        <v>7.5999999999999998E-2</v>
      </c>
      <c r="W21" s="8">
        <f t="shared" si="2"/>
        <v>2.1399999999999999E-2</v>
      </c>
      <c r="X21" s="10">
        <f t="shared" si="2"/>
        <v>1.5657739300422652E-4</v>
      </c>
      <c r="Y21" s="9">
        <v>0.29299999999999998</v>
      </c>
      <c r="Z21" s="9">
        <v>4.1000000000000003E-3</v>
      </c>
    </row>
    <row r="22" spans="2:26" x14ac:dyDescent="0.2">
      <c r="T22" s="5">
        <v>4</v>
      </c>
      <c r="U22" s="6">
        <v>7.79</v>
      </c>
      <c r="V22" s="7">
        <v>0.08</v>
      </c>
      <c r="W22" s="8">
        <f t="shared" si="2"/>
        <v>2.6700000000000002E-2</v>
      </c>
      <c r="X22" s="10">
        <f t="shared" si="2"/>
        <v>1.8105704441786667E-4</v>
      </c>
      <c r="Y22" s="9">
        <v>0.2918</v>
      </c>
      <c r="Z22" s="9">
        <v>3.5999999999999999E-3</v>
      </c>
    </row>
    <row r="23" spans="2:26" x14ac:dyDescent="0.2">
      <c r="T23" s="5">
        <v>5</v>
      </c>
      <c r="U23" s="6">
        <v>9.44</v>
      </c>
      <c r="V23" s="7">
        <v>8.5000000000000006E-2</v>
      </c>
      <c r="W23" s="8">
        <f t="shared" si="2"/>
        <v>3.2299999999999995E-2</v>
      </c>
      <c r="X23" s="10">
        <f t="shared" si="2"/>
        <v>2.0692233647756186E-4</v>
      </c>
      <c r="Y23" s="9">
        <v>0.2923</v>
      </c>
      <c r="Z23" s="9">
        <v>3.2000000000000002E-3</v>
      </c>
    </row>
    <row r="24" spans="2:26" x14ac:dyDescent="0.2">
      <c r="T24" s="5">
        <v>6</v>
      </c>
      <c r="U24" s="6">
        <v>12.26</v>
      </c>
      <c r="V24" s="7">
        <v>9.2999999999999999E-2</v>
      </c>
      <c r="W24" s="8">
        <f t="shared" si="2"/>
        <v>4.2000000000000003E-2</v>
      </c>
      <c r="X24" s="10">
        <f t="shared" si="2"/>
        <v>2.517247173666769E-4</v>
      </c>
      <c r="Y24" s="9">
        <v>0.29189999999999999</v>
      </c>
      <c r="Z24" s="9">
        <v>2.8E-3</v>
      </c>
    </row>
    <row r="25" spans="2:26" ht="17" thickBot="1" x14ac:dyDescent="0.25"/>
    <row r="26" spans="2:26" ht="18" x14ac:dyDescent="0.2">
      <c r="B26" s="34" t="s">
        <v>27</v>
      </c>
      <c r="C26" s="35" t="s">
        <v>22</v>
      </c>
      <c r="D26" s="35" t="s">
        <v>23</v>
      </c>
      <c r="E26" s="36" t="s">
        <v>24</v>
      </c>
      <c r="F26" s="35" t="s">
        <v>25</v>
      </c>
      <c r="G26" s="37" t="s">
        <v>26</v>
      </c>
    </row>
    <row r="27" spans="2:26" ht="17" thickBot="1" x14ac:dyDescent="0.25">
      <c r="B27" s="38"/>
      <c r="C27" s="39"/>
      <c r="D27" s="39"/>
      <c r="E27" s="40"/>
      <c r="F27" s="39"/>
      <c r="G27" s="41"/>
    </row>
    <row r="30" spans="2:26" x14ac:dyDescent="0.2">
      <c r="C30" s="42"/>
    </row>
    <row r="34" spans="2:16" x14ac:dyDescent="0.2">
      <c r="B34" s="107" t="s">
        <v>9</v>
      </c>
      <c r="C34" s="107"/>
    </row>
    <row r="35" spans="2:16" x14ac:dyDescent="0.2">
      <c r="B35" cm="1">
        <f t="array" ref="B35:C39">LINEST(G16:G21,E16:E21,1,1)</f>
        <v>3.4664080036931706</v>
      </c>
      <c r="C35">
        <v>-0.42767033358372686</v>
      </c>
      <c r="N35">
        <f xml:space="preserve"> 1/3.4664</f>
        <v>0.28848372951765522</v>
      </c>
      <c r="P35" t="s">
        <v>8</v>
      </c>
    </row>
    <row r="36" spans="2:16" x14ac:dyDescent="0.2">
      <c r="B36">
        <v>1.6188034904899583E-2</v>
      </c>
      <c r="C36">
        <v>0.12750909650859599</v>
      </c>
    </row>
    <row r="37" spans="2:16" x14ac:dyDescent="0.2">
      <c r="B37">
        <v>0.99991277298429959</v>
      </c>
      <c r="C37">
        <v>0.11844983626229502</v>
      </c>
    </row>
    <row r="38" spans="2:16" x14ac:dyDescent="0.2">
      <c r="B38">
        <v>45853.35242550222</v>
      </c>
      <c r="C38">
        <v>4</v>
      </c>
    </row>
    <row r="39" spans="2:16" x14ac:dyDescent="0.2">
      <c r="B39">
        <v>643.33921187849114</v>
      </c>
      <c r="C39">
        <v>5.6121454842258008E-2</v>
      </c>
    </row>
  </sheetData>
  <mergeCells count="1">
    <mergeCell ref="B34:C3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EAE5-B845-9E49-BF42-B3E50802A877}">
  <dimension ref="B5:AB171"/>
  <sheetViews>
    <sheetView topLeftCell="C97" zoomScale="70" zoomScaleNormal="70" workbookViewId="0">
      <selection activeCell="F120" sqref="F120"/>
    </sheetView>
  </sheetViews>
  <sheetFormatPr baseColWidth="10" defaultColWidth="10.83203125" defaultRowHeight="21" customHeight="1" x14ac:dyDescent="0.2"/>
  <cols>
    <col min="1" max="9" width="10.83203125" style="43"/>
    <col min="10" max="10" width="10.83203125" style="43" bestFit="1" customWidth="1"/>
    <col min="11" max="11" width="11.6640625" style="43" customWidth="1"/>
    <col min="12" max="12" width="23" style="43" customWidth="1"/>
    <col min="13" max="13" width="12.1640625" style="43" bestFit="1" customWidth="1"/>
    <col min="14" max="14" width="13.6640625" style="43" bestFit="1" customWidth="1"/>
    <col min="15" max="15" width="12.6640625" style="43" bestFit="1" customWidth="1"/>
    <col min="16" max="16" width="18.6640625" style="43" customWidth="1"/>
    <col min="17" max="17" width="24.1640625" style="43" customWidth="1"/>
    <col min="18" max="27" width="10.83203125" style="43"/>
    <col min="28" max="28" width="15.5" style="43" customWidth="1"/>
    <col min="29" max="16384" width="10.83203125" style="43"/>
  </cols>
  <sheetData>
    <row r="5" spans="3:8" ht="21" customHeight="1" x14ac:dyDescent="0.2">
      <c r="C5" s="44" t="s">
        <v>28</v>
      </c>
      <c r="D5" s="44" t="s">
        <v>55</v>
      </c>
      <c r="E5" s="44" t="s">
        <v>56</v>
      </c>
      <c r="G5" s="45" t="s">
        <v>29</v>
      </c>
      <c r="H5" s="45" t="s">
        <v>56</v>
      </c>
    </row>
    <row r="6" spans="3:8" ht="21" customHeight="1" x14ac:dyDescent="0.2">
      <c r="C6" s="46">
        <v>1</v>
      </c>
      <c r="D6" s="46">
        <v>50</v>
      </c>
      <c r="E6" s="46">
        <v>1.97</v>
      </c>
      <c r="G6" s="47">
        <v>20</v>
      </c>
      <c r="H6" s="46">
        <v>0.55000000000000004</v>
      </c>
    </row>
    <row r="7" spans="3:8" ht="21" customHeight="1" x14ac:dyDescent="0.2">
      <c r="C7" s="46">
        <v>2</v>
      </c>
      <c r="D7" s="46">
        <v>52</v>
      </c>
      <c r="E7" s="46">
        <v>2.0299999999999998</v>
      </c>
      <c r="G7" s="47">
        <v>40</v>
      </c>
      <c r="H7" s="46">
        <v>0.5</v>
      </c>
    </row>
    <row r="8" spans="3:8" ht="21" customHeight="1" x14ac:dyDescent="0.2">
      <c r="C8" s="46">
        <v>3</v>
      </c>
      <c r="D8" s="46">
        <v>54</v>
      </c>
      <c r="E8" s="46">
        <v>2.13</v>
      </c>
      <c r="G8" s="47">
        <v>60</v>
      </c>
      <c r="H8" s="46">
        <v>0.45</v>
      </c>
    </row>
    <row r="9" spans="3:8" ht="21" customHeight="1" x14ac:dyDescent="0.2">
      <c r="C9" s="46">
        <v>4</v>
      </c>
      <c r="D9" s="46">
        <v>56</v>
      </c>
      <c r="E9" s="46">
        <v>2.2000000000000002</v>
      </c>
      <c r="G9" s="47">
        <v>80</v>
      </c>
      <c r="H9" s="46">
        <v>0.39</v>
      </c>
    </row>
    <row r="10" spans="3:8" ht="21" customHeight="1" x14ac:dyDescent="0.2">
      <c r="C10" s="46">
        <v>5</v>
      </c>
      <c r="D10" s="46">
        <v>58</v>
      </c>
      <c r="E10" s="46">
        <v>2.2999999999999998</v>
      </c>
      <c r="G10" s="47">
        <v>100</v>
      </c>
      <c r="H10" s="46">
        <v>0.28999999999999998</v>
      </c>
    </row>
    <row r="11" spans="3:8" ht="21" customHeight="1" x14ac:dyDescent="0.2">
      <c r="C11" s="46">
        <v>6</v>
      </c>
      <c r="D11" s="46">
        <v>60</v>
      </c>
      <c r="E11" s="46">
        <v>2.37</v>
      </c>
      <c r="G11" s="47">
        <v>120</v>
      </c>
      <c r="H11" s="46">
        <v>0.22</v>
      </c>
    </row>
    <row r="12" spans="3:8" ht="21" customHeight="1" x14ac:dyDescent="0.2">
      <c r="C12" s="46">
        <v>7</v>
      </c>
      <c r="D12" s="46">
        <v>62</v>
      </c>
      <c r="E12" s="46">
        <v>2.46</v>
      </c>
      <c r="G12" s="47">
        <v>140</v>
      </c>
      <c r="H12" s="46">
        <v>0.17</v>
      </c>
    </row>
    <row r="13" spans="3:8" ht="21" customHeight="1" x14ac:dyDescent="0.2">
      <c r="C13" s="46">
        <v>8</v>
      </c>
      <c r="D13" s="46">
        <v>64</v>
      </c>
      <c r="E13" s="46">
        <v>2.56</v>
      </c>
      <c r="G13" s="47">
        <v>160</v>
      </c>
      <c r="H13" s="46">
        <v>0.13</v>
      </c>
    </row>
    <row r="14" spans="3:8" ht="21" customHeight="1" x14ac:dyDescent="0.2">
      <c r="C14" s="46">
        <v>9</v>
      </c>
      <c r="D14" s="46">
        <v>66</v>
      </c>
      <c r="E14" s="46">
        <v>2.65</v>
      </c>
      <c r="G14" s="47">
        <v>180</v>
      </c>
      <c r="H14" s="46">
        <v>0.09</v>
      </c>
    </row>
    <row r="15" spans="3:8" ht="21" customHeight="1" x14ac:dyDescent="0.2">
      <c r="C15" s="46">
        <v>10</v>
      </c>
      <c r="D15" s="46">
        <v>68</v>
      </c>
      <c r="E15" s="46">
        <v>2.75</v>
      </c>
      <c r="G15" s="47">
        <v>200</v>
      </c>
      <c r="H15" s="46">
        <v>0.06</v>
      </c>
    </row>
    <row r="16" spans="3:8" ht="21" customHeight="1" x14ac:dyDescent="0.2">
      <c r="C16" s="46">
        <v>11</v>
      </c>
      <c r="D16" s="46">
        <v>70</v>
      </c>
      <c r="E16" s="46">
        <v>2.84</v>
      </c>
      <c r="G16" s="47">
        <v>220</v>
      </c>
      <c r="H16" s="46">
        <v>0.04</v>
      </c>
    </row>
    <row r="17" spans="2:8" ht="21" customHeight="1" x14ac:dyDescent="0.2">
      <c r="C17" s="46">
        <v>12</v>
      </c>
      <c r="D17" s="46">
        <v>72</v>
      </c>
      <c r="E17" s="46">
        <v>2.94</v>
      </c>
      <c r="G17" s="47">
        <v>240</v>
      </c>
      <c r="H17" s="46">
        <v>0.02</v>
      </c>
    </row>
    <row r="18" spans="2:8" ht="21" customHeight="1" x14ac:dyDescent="0.2">
      <c r="C18" s="46">
        <v>13</v>
      </c>
      <c r="D18" s="46">
        <v>74</v>
      </c>
      <c r="E18" s="46">
        <v>3.04</v>
      </c>
      <c r="G18" s="47">
        <v>260</v>
      </c>
      <c r="H18" s="46">
        <v>0</v>
      </c>
    </row>
    <row r="19" spans="2:8" ht="21" customHeight="1" x14ac:dyDescent="0.2">
      <c r="C19" s="46">
        <v>14</v>
      </c>
      <c r="D19" s="46">
        <v>76</v>
      </c>
      <c r="E19" s="46">
        <v>3.2</v>
      </c>
      <c r="G19" s="47">
        <v>280</v>
      </c>
      <c r="H19" s="46">
        <v>-0.01</v>
      </c>
    </row>
    <row r="20" spans="2:8" ht="21" customHeight="1" x14ac:dyDescent="0.2">
      <c r="C20" s="46">
        <v>15</v>
      </c>
      <c r="D20" s="46">
        <v>78</v>
      </c>
      <c r="E20" s="46">
        <v>3.3</v>
      </c>
      <c r="G20" s="47">
        <v>300</v>
      </c>
      <c r="H20" s="46">
        <v>-0.03</v>
      </c>
    </row>
    <row r="21" spans="2:8" ht="21" customHeight="1" x14ac:dyDescent="0.2">
      <c r="G21" s="47">
        <v>320</v>
      </c>
      <c r="H21" s="46">
        <v>-0.06</v>
      </c>
    </row>
    <row r="22" spans="2:8" ht="21" customHeight="1" x14ac:dyDescent="0.2">
      <c r="G22" s="47">
        <v>340</v>
      </c>
      <c r="H22" s="46">
        <v>-0.06</v>
      </c>
    </row>
    <row r="23" spans="2:8" ht="21" customHeight="1" x14ac:dyDescent="0.2">
      <c r="C23" s="126" t="s">
        <v>48</v>
      </c>
      <c r="D23" s="126"/>
      <c r="G23" s="47">
        <v>360</v>
      </c>
      <c r="H23" s="46">
        <v>-0.05</v>
      </c>
    </row>
    <row r="24" spans="2:8" ht="21" customHeight="1" x14ac:dyDescent="0.2">
      <c r="B24" s="43" t="s">
        <v>49</v>
      </c>
      <c r="C24" s="46" cm="1">
        <f t="array" ref="C24:D28">LINEST(E6:E20,D6:D20,1,1)</f>
        <v>4.7160714285714292E-2</v>
      </c>
      <c r="D24" s="46">
        <v>-0.43561904761904779</v>
      </c>
      <c r="E24" s="43" t="s">
        <v>51</v>
      </c>
      <c r="G24" s="47">
        <v>380</v>
      </c>
      <c r="H24" s="46">
        <v>-0.02</v>
      </c>
    </row>
    <row r="25" spans="2:8" ht="21" customHeight="1" x14ac:dyDescent="0.2">
      <c r="B25" s="43" t="s">
        <v>50</v>
      </c>
      <c r="C25" s="46">
        <v>9.4724893604274769E-4</v>
      </c>
      <c r="D25" s="46">
        <v>6.1173998294450985E-2</v>
      </c>
      <c r="E25" s="43" t="s">
        <v>52</v>
      </c>
      <c r="G25" s="47">
        <v>400</v>
      </c>
      <c r="H25" s="46">
        <v>0</v>
      </c>
    </row>
    <row r="26" spans="2:8" ht="21" customHeight="1" x14ac:dyDescent="0.2">
      <c r="C26" s="46">
        <v>0.99478278042275925</v>
      </c>
      <c r="D26" s="46">
        <v>3.1701012798556007E-2</v>
      </c>
      <c r="G26" s="47">
        <v>420</v>
      </c>
      <c r="H26" s="46">
        <v>0.03</v>
      </c>
    </row>
    <row r="27" spans="2:8" ht="21" customHeight="1" x14ac:dyDescent="0.2">
      <c r="C27" s="46">
        <v>2478.7486809852312</v>
      </c>
      <c r="D27" s="46">
        <v>13</v>
      </c>
      <c r="G27" s="47">
        <v>440</v>
      </c>
      <c r="H27" s="46">
        <v>0.06</v>
      </c>
    </row>
    <row r="28" spans="2:8" ht="21" customHeight="1" x14ac:dyDescent="0.2">
      <c r="C28" s="46">
        <v>2.4910289285714287</v>
      </c>
      <c r="D28" s="46">
        <v>1.3064404761904749E-2</v>
      </c>
      <c r="G28" s="47">
        <v>460</v>
      </c>
      <c r="H28" s="46">
        <v>0.09</v>
      </c>
    </row>
    <row r="29" spans="2:8" ht="21" customHeight="1" x14ac:dyDescent="0.2">
      <c r="G29" s="47">
        <v>480</v>
      </c>
      <c r="H29" s="46">
        <v>0.11700000000000001</v>
      </c>
    </row>
    <row r="30" spans="2:8" ht="21" customHeight="1" x14ac:dyDescent="0.2">
      <c r="G30" s="47">
        <v>500</v>
      </c>
      <c r="H30" s="46">
        <v>0.121</v>
      </c>
    </row>
    <row r="31" spans="2:8" ht="28" customHeight="1" x14ac:dyDescent="0.2">
      <c r="G31" s="47">
        <v>520</v>
      </c>
      <c r="H31" s="46">
        <v>0.123</v>
      </c>
    </row>
    <row r="32" spans="2:8" ht="21" customHeight="1" x14ac:dyDescent="0.2">
      <c r="G32" s="47">
        <v>540</v>
      </c>
      <c r="H32" s="46">
        <v>0.125</v>
      </c>
    </row>
    <row r="33" spans="7:28" ht="21" customHeight="1" x14ac:dyDescent="0.2">
      <c r="G33" s="47">
        <v>560</v>
      </c>
      <c r="H33" s="46">
        <v>0.128</v>
      </c>
    </row>
    <row r="34" spans="7:28" ht="21" customHeight="1" x14ac:dyDescent="0.2">
      <c r="G34" s="47">
        <v>580</v>
      </c>
      <c r="H34" s="46">
        <v>0.129</v>
      </c>
    </row>
    <row r="35" spans="7:28" ht="21" customHeight="1" x14ac:dyDescent="0.2">
      <c r="G35" s="47">
        <v>600</v>
      </c>
      <c r="H35" s="46">
        <v>0.129</v>
      </c>
    </row>
    <row r="36" spans="7:28" ht="21" customHeight="1" x14ac:dyDescent="0.2">
      <c r="G36" s="47">
        <v>620</v>
      </c>
      <c r="H36" s="46">
        <v>0.13</v>
      </c>
      <c r="M36" s="51"/>
      <c r="N36" s="51"/>
      <c r="O36" s="51"/>
      <c r="P36" s="51"/>
      <c r="Q36" s="51"/>
    </row>
    <row r="37" spans="7:28" ht="21" customHeight="1" x14ac:dyDescent="0.2">
      <c r="G37" s="47">
        <v>640</v>
      </c>
      <c r="H37" s="46">
        <v>0.13</v>
      </c>
    </row>
    <row r="38" spans="7:28" ht="21" customHeight="1" x14ac:dyDescent="0.2">
      <c r="G38" s="47">
        <v>660</v>
      </c>
      <c r="H38" s="46">
        <v>0.13</v>
      </c>
    </row>
    <row r="39" spans="7:28" ht="21" customHeight="1" thickBot="1" x14ac:dyDescent="0.25">
      <c r="G39" s="47">
        <v>680</v>
      </c>
      <c r="H39" s="46">
        <v>0.13</v>
      </c>
    </row>
    <row r="40" spans="7:28" ht="51" thickBot="1" x14ac:dyDescent="0.25">
      <c r="G40" s="47">
        <v>700</v>
      </c>
      <c r="H40" s="46">
        <v>0.13</v>
      </c>
      <c r="J40" s="63" t="s">
        <v>37</v>
      </c>
      <c r="K40" s="63" t="s">
        <v>38</v>
      </c>
      <c r="L40" s="63" t="s">
        <v>31</v>
      </c>
      <c r="M40" s="63" t="s">
        <v>32</v>
      </c>
      <c r="N40" s="63" t="s">
        <v>39</v>
      </c>
      <c r="O40" s="63" t="s">
        <v>40</v>
      </c>
      <c r="P40" s="63" t="s">
        <v>53</v>
      </c>
      <c r="Q40" s="63" t="s">
        <v>41</v>
      </c>
      <c r="R40" s="63" t="s">
        <v>42</v>
      </c>
      <c r="S40" s="50"/>
      <c r="U40" s="54" t="s">
        <v>30</v>
      </c>
      <c r="V40" s="54" t="s">
        <v>31</v>
      </c>
      <c r="W40" s="54" t="s">
        <v>32</v>
      </c>
      <c r="X40" s="54" t="s">
        <v>44</v>
      </c>
      <c r="Y40" s="54" t="s">
        <v>45</v>
      </c>
      <c r="Z40" s="54" t="s">
        <v>46</v>
      </c>
      <c r="AA40" s="54" t="s">
        <v>47</v>
      </c>
      <c r="AB40" s="54" t="s">
        <v>54</v>
      </c>
    </row>
    <row r="41" spans="7:28" ht="26" thickBot="1" x14ac:dyDescent="0.25">
      <c r="G41" s="47">
        <v>720</v>
      </c>
      <c r="H41" s="46">
        <v>0.13</v>
      </c>
      <c r="J41" s="64" t="s">
        <v>35</v>
      </c>
      <c r="K41" s="64" t="s">
        <v>35</v>
      </c>
      <c r="L41" s="64" t="s">
        <v>34</v>
      </c>
      <c r="M41" s="64" t="s">
        <v>34</v>
      </c>
      <c r="N41" s="64" t="s">
        <v>43</v>
      </c>
      <c r="O41" s="64" t="s">
        <v>43</v>
      </c>
      <c r="P41" s="64" t="s">
        <v>36</v>
      </c>
      <c r="Q41" s="64" t="s">
        <v>34</v>
      </c>
      <c r="R41" s="64" t="s">
        <v>34</v>
      </c>
      <c r="U41" s="53" t="s">
        <v>33</v>
      </c>
      <c r="V41" s="53" t="s">
        <v>34</v>
      </c>
      <c r="W41" s="53" t="s">
        <v>34</v>
      </c>
      <c r="X41" s="53" t="s">
        <v>34</v>
      </c>
      <c r="Y41" s="53" t="s">
        <v>34</v>
      </c>
      <c r="Z41" s="53" t="s">
        <v>35</v>
      </c>
      <c r="AA41" s="53" t="s">
        <v>35</v>
      </c>
      <c r="AB41" s="53" t="s">
        <v>36</v>
      </c>
    </row>
    <row r="42" spans="7:28" ht="21" customHeight="1" thickBot="1" x14ac:dyDescent="0.25">
      <c r="G42" s="47">
        <v>740</v>
      </c>
      <c r="H42" s="46">
        <v>0.13</v>
      </c>
      <c r="J42" s="56">
        <v>50</v>
      </c>
      <c r="K42" s="56">
        <f>1/SQRT(3)</f>
        <v>0.57735026918962584</v>
      </c>
      <c r="L42" s="57">
        <v>1.97</v>
      </c>
      <c r="M42" s="57">
        <f>(0.0005*L42+0.0001*0.01)/SQRT(3)</f>
        <v>5.6926736542097097E-4</v>
      </c>
      <c r="N42" s="127">
        <v>4.7160713999999999E-2</v>
      </c>
      <c r="O42" s="128">
        <v>9.4724900000000005E-4</v>
      </c>
      <c r="P42" s="129">
        <f>2.02</f>
        <v>2.02</v>
      </c>
      <c r="Q42" s="121">
        <v>-0.43561904800000001</v>
      </c>
      <c r="R42" s="121">
        <v>6.2E-2</v>
      </c>
      <c r="U42" s="47">
        <v>20</v>
      </c>
      <c r="V42" s="52">
        <v>0.55000000000000004</v>
      </c>
      <c r="W42" s="52">
        <f>(0.0005*V42+0.0001*0.01)/SQRT(3)</f>
        <v>1.5934867429633675E-4</v>
      </c>
      <c r="X42" s="122">
        <f>(H21+H22+H23)/3</f>
        <v>-5.6666666666666664E-2</v>
      </c>
      <c r="Y42" s="122">
        <f>SQRT(0.000067/6 + W42^2)</f>
        <v>3.3454534321473773E-3</v>
      </c>
      <c r="Z42" s="108">
        <f>(X42+Q42)/N42</f>
        <v>-10.438470347727701</v>
      </c>
      <c r="AA42" s="108">
        <f>SQRT((-X42*O42/N42^2)^2 + (Y42/N42)^2)</f>
        <v>7.4930330166779843E-2</v>
      </c>
      <c r="AB42" s="108">
        <f>AA42*100/Z42</f>
        <v>-0.71782864414699465</v>
      </c>
    </row>
    <row r="43" spans="7:28" ht="21" customHeight="1" thickBot="1" x14ac:dyDescent="0.25">
      <c r="G43" s="47">
        <v>760</v>
      </c>
      <c r="H43" s="46">
        <v>0.13</v>
      </c>
      <c r="J43" s="56">
        <v>52</v>
      </c>
      <c r="K43" s="56">
        <f t="shared" ref="K43:K56" si="0">1/SQRT(3)</f>
        <v>0.57735026918962584</v>
      </c>
      <c r="L43" s="57">
        <v>2.0299999999999998</v>
      </c>
      <c r="M43" s="57">
        <f t="shared" ref="M43:M56" si="1">(0.0005*L43+0.0001*0.01)/SQRT(3)</f>
        <v>5.8658787349665962E-4</v>
      </c>
      <c r="N43" s="127"/>
      <c r="O43" s="128"/>
      <c r="P43" s="129"/>
      <c r="Q43" s="121"/>
      <c r="R43" s="121"/>
      <c r="U43" s="47">
        <v>40</v>
      </c>
      <c r="V43" s="52">
        <v>0.5</v>
      </c>
      <c r="W43" s="52">
        <f t="shared" ref="W43:W106" si="2">(0.0005*V43+0.0001*0.01)/SQRT(3)</f>
        <v>1.4491491756659608E-4</v>
      </c>
      <c r="X43" s="122"/>
      <c r="Y43" s="122"/>
      <c r="Z43" s="108"/>
      <c r="AA43" s="108"/>
      <c r="AB43" s="108"/>
    </row>
    <row r="44" spans="7:28" ht="21" customHeight="1" thickBot="1" x14ac:dyDescent="0.25">
      <c r="G44" s="47">
        <v>780</v>
      </c>
      <c r="H44" s="46">
        <v>0.13</v>
      </c>
      <c r="J44" s="56">
        <v>54</v>
      </c>
      <c r="K44" s="56">
        <f t="shared" si="0"/>
        <v>0.57735026918962584</v>
      </c>
      <c r="L44" s="57">
        <v>2.13</v>
      </c>
      <c r="M44" s="57">
        <f t="shared" si="1"/>
        <v>6.1545538695614106E-4</v>
      </c>
      <c r="N44" s="127"/>
      <c r="O44" s="128"/>
      <c r="P44" s="129"/>
      <c r="Q44" s="121"/>
      <c r="R44" s="121"/>
      <c r="U44" s="47">
        <v>60</v>
      </c>
      <c r="V44" s="52">
        <v>0.45</v>
      </c>
      <c r="W44" s="52">
        <f t="shared" si="2"/>
        <v>1.3048116083685544E-4</v>
      </c>
      <c r="X44" s="122"/>
      <c r="Y44" s="122"/>
      <c r="Z44" s="108"/>
      <c r="AA44" s="108"/>
      <c r="AB44" s="108"/>
    </row>
    <row r="45" spans="7:28" ht="21" customHeight="1" thickBot="1" x14ac:dyDescent="0.25">
      <c r="G45" s="47">
        <v>800</v>
      </c>
      <c r="H45" s="46">
        <v>0.13</v>
      </c>
      <c r="J45" s="56">
        <v>56</v>
      </c>
      <c r="K45" s="56">
        <f t="shared" si="0"/>
        <v>0.57735026918962584</v>
      </c>
      <c r="L45" s="57">
        <v>2.2000000000000002</v>
      </c>
      <c r="M45" s="57">
        <f t="shared" si="1"/>
        <v>6.3566264637777796E-4</v>
      </c>
      <c r="N45" s="127"/>
      <c r="O45" s="128"/>
      <c r="P45" s="129"/>
      <c r="Q45" s="121"/>
      <c r="R45" s="121"/>
      <c r="U45" s="47">
        <v>80</v>
      </c>
      <c r="V45" s="52">
        <v>0.39</v>
      </c>
      <c r="W45" s="52">
        <f t="shared" si="2"/>
        <v>1.1316065276116667E-4</v>
      </c>
      <c r="X45" s="122"/>
      <c r="Y45" s="122"/>
      <c r="Z45" s="108"/>
      <c r="AA45" s="108"/>
      <c r="AB45" s="108"/>
    </row>
    <row r="46" spans="7:28" ht="21" customHeight="1" thickBot="1" x14ac:dyDescent="0.25">
      <c r="G46" s="47">
        <v>820</v>
      </c>
      <c r="H46" s="46">
        <v>0.13</v>
      </c>
      <c r="J46" s="56">
        <v>58</v>
      </c>
      <c r="K46" s="56">
        <f t="shared" si="0"/>
        <v>0.57735026918962584</v>
      </c>
      <c r="L46" s="57">
        <v>2.2999999999999998</v>
      </c>
      <c r="M46" s="57">
        <f t="shared" si="1"/>
        <v>6.6453015983725919E-4</v>
      </c>
      <c r="N46" s="127"/>
      <c r="O46" s="128"/>
      <c r="P46" s="129"/>
      <c r="Q46" s="121"/>
      <c r="R46" s="121"/>
      <c r="U46" s="47">
        <v>100</v>
      </c>
      <c r="V46" s="52">
        <v>0.28999999999999998</v>
      </c>
      <c r="W46" s="52">
        <f t="shared" si="2"/>
        <v>8.4293139301685368E-5</v>
      </c>
      <c r="X46" s="122"/>
      <c r="Y46" s="122"/>
      <c r="Z46" s="108"/>
      <c r="AA46" s="108"/>
      <c r="AB46" s="108"/>
    </row>
    <row r="47" spans="7:28" ht="21" customHeight="1" thickBot="1" x14ac:dyDescent="0.25">
      <c r="G47" s="47">
        <v>840</v>
      </c>
      <c r="H47" s="46">
        <v>0.13</v>
      </c>
      <c r="J47" s="56">
        <v>60</v>
      </c>
      <c r="K47" s="56">
        <f t="shared" si="0"/>
        <v>0.57735026918962584</v>
      </c>
      <c r="L47" s="57">
        <v>2.37</v>
      </c>
      <c r="M47" s="57">
        <f t="shared" si="1"/>
        <v>6.847374192588962E-4</v>
      </c>
      <c r="N47" s="127"/>
      <c r="O47" s="128"/>
      <c r="P47" s="129"/>
      <c r="Q47" s="121"/>
      <c r="R47" s="121"/>
      <c r="U47" s="47">
        <v>120</v>
      </c>
      <c r="V47" s="52">
        <v>0.22</v>
      </c>
      <c r="W47" s="52">
        <f t="shared" si="2"/>
        <v>6.4085879880048467E-5</v>
      </c>
      <c r="X47" s="122"/>
      <c r="Y47" s="122"/>
      <c r="Z47" s="108"/>
      <c r="AA47" s="108"/>
      <c r="AB47" s="108"/>
    </row>
    <row r="48" spans="7:28" ht="21" customHeight="1" thickBot="1" x14ac:dyDescent="0.25">
      <c r="G48" s="47">
        <v>860</v>
      </c>
      <c r="H48" s="46">
        <v>0.129</v>
      </c>
      <c r="J48" s="56">
        <v>62</v>
      </c>
      <c r="K48" s="56">
        <f t="shared" si="0"/>
        <v>0.57735026918962584</v>
      </c>
      <c r="L48" s="57">
        <v>2.46</v>
      </c>
      <c r="M48" s="57">
        <f t="shared" si="1"/>
        <v>7.1071818137242928E-4</v>
      </c>
      <c r="N48" s="127"/>
      <c r="O48" s="128"/>
      <c r="P48" s="129"/>
      <c r="Q48" s="121"/>
      <c r="R48" s="121"/>
      <c r="U48" s="47">
        <v>140</v>
      </c>
      <c r="V48" s="52">
        <v>0.17</v>
      </c>
      <c r="W48" s="52">
        <f t="shared" si="2"/>
        <v>4.9652123150307821E-5</v>
      </c>
      <c r="X48" s="122"/>
      <c r="Y48" s="122"/>
      <c r="Z48" s="108"/>
      <c r="AA48" s="108"/>
      <c r="AB48" s="108"/>
    </row>
    <row r="49" spans="7:28" ht="21" customHeight="1" thickBot="1" x14ac:dyDescent="0.25">
      <c r="G49" s="47">
        <v>880</v>
      </c>
      <c r="H49" s="46">
        <v>0.128</v>
      </c>
      <c r="J49" s="56">
        <v>64</v>
      </c>
      <c r="K49" s="56">
        <f t="shared" si="0"/>
        <v>0.57735026918962584</v>
      </c>
      <c r="L49" s="57">
        <v>2.56</v>
      </c>
      <c r="M49" s="57">
        <f t="shared" si="1"/>
        <v>7.3958569483191061E-4</v>
      </c>
      <c r="N49" s="127"/>
      <c r="O49" s="128"/>
      <c r="P49" s="129"/>
      <c r="Q49" s="121"/>
      <c r="R49" s="121"/>
      <c r="U49" s="47">
        <v>160</v>
      </c>
      <c r="V49" s="52">
        <v>0.13</v>
      </c>
      <c r="W49" s="52">
        <f t="shared" si="2"/>
        <v>3.8105117766515305E-5</v>
      </c>
      <c r="X49" s="122"/>
      <c r="Y49" s="122"/>
      <c r="Z49" s="108"/>
      <c r="AA49" s="108"/>
      <c r="AB49" s="108"/>
    </row>
    <row r="50" spans="7:28" ht="21" customHeight="1" thickBot="1" x14ac:dyDescent="0.25">
      <c r="G50" s="47">
        <v>900</v>
      </c>
      <c r="H50" s="46">
        <v>0.127</v>
      </c>
      <c r="J50" s="56">
        <v>66</v>
      </c>
      <c r="K50" s="56">
        <f t="shared" si="0"/>
        <v>0.57735026918962584</v>
      </c>
      <c r="L50" s="57">
        <v>2.65</v>
      </c>
      <c r="M50" s="57">
        <f t="shared" si="1"/>
        <v>7.655664569454438E-4</v>
      </c>
      <c r="N50" s="127"/>
      <c r="O50" s="128"/>
      <c r="P50" s="129"/>
      <c r="Q50" s="121"/>
      <c r="R50" s="121"/>
      <c r="U50" s="47">
        <v>180</v>
      </c>
      <c r="V50" s="52">
        <v>0.09</v>
      </c>
      <c r="W50" s="52">
        <f t="shared" si="2"/>
        <v>2.6558112382722783E-5</v>
      </c>
      <c r="X50" s="122"/>
      <c r="Y50" s="122"/>
      <c r="Z50" s="108"/>
      <c r="AA50" s="108"/>
      <c r="AB50" s="108"/>
    </row>
    <row r="51" spans="7:28" ht="21" customHeight="1" thickBot="1" x14ac:dyDescent="0.25">
      <c r="G51" s="47">
        <v>920</v>
      </c>
      <c r="H51" s="46">
        <v>0.126</v>
      </c>
      <c r="J51" s="56">
        <v>68</v>
      </c>
      <c r="K51" s="56">
        <f t="shared" si="0"/>
        <v>0.57735026918962584</v>
      </c>
      <c r="L51" s="57">
        <v>2.75</v>
      </c>
      <c r="M51" s="57">
        <f t="shared" si="1"/>
        <v>7.9443397040492502E-4</v>
      </c>
      <c r="N51" s="127"/>
      <c r="O51" s="128"/>
      <c r="P51" s="129"/>
      <c r="Q51" s="121"/>
      <c r="R51" s="121"/>
      <c r="U51" s="47">
        <v>200</v>
      </c>
      <c r="V51" s="52">
        <v>0.06</v>
      </c>
      <c r="W51" s="52">
        <f t="shared" si="2"/>
        <v>1.7897858344878401E-5</v>
      </c>
      <c r="X51" s="122"/>
      <c r="Y51" s="122"/>
      <c r="Z51" s="108"/>
      <c r="AA51" s="108"/>
      <c r="AB51" s="108"/>
    </row>
    <row r="52" spans="7:28" ht="21" customHeight="1" thickBot="1" x14ac:dyDescent="0.25">
      <c r="G52" s="47">
        <v>940</v>
      </c>
      <c r="H52" s="46">
        <v>0.126</v>
      </c>
      <c r="J52" s="56">
        <v>70</v>
      </c>
      <c r="K52" s="56">
        <f t="shared" si="0"/>
        <v>0.57735026918962584</v>
      </c>
      <c r="L52" s="57">
        <v>2.84</v>
      </c>
      <c r="M52" s="57">
        <f t="shared" si="1"/>
        <v>8.2041473251845821E-4</v>
      </c>
      <c r="N52" s="127"/>
      <c r="O52" s="128"/>
      <c r="P52" s="129"/>
      <c r="Q52" s="121"/>
      <c r="R52" s="121"/>
      <c r="U52" s="47">
        <v>220</v>
      </c>
      <c r="V52" s="52">
        <v>0.04</v>
      </c>
      <c r="W52" s="52">
        <f t="shared" si="2"/>
        <v>1.2124355652982143E-5</v>
      </c>
      <c r="X52" s="122"/>
      <c r="Y52" s="122"/>
      <c r="Z52" s="108"/>
      <c r="AA52" s="108"/>
      <c r="AB52" s="108"/>
    </row>
    <row r="53" spans="7:28" ht="21" customHeight="1" thickBot="1" x14ac:dyDescent="0.25">
      <c r="G53" s="47">
        <v>960</v>
      </c>
      <c r="H53" s="46">
        <v>0.125</v>
      </c>
      <c r="J53" s="56">
        <v>72</v>
      </c>
      <c r="K53" s="56">
        <f t="shared" si="0"/>
        <v>0.57735026918962584</v>
      </c>
      <c r="L53" s="57">
        <v>2.94</v>
      </c>
      <c r="M53" s="57">
        <f t="shared" si="1"/>
        <v>8.4928224597793944E-4</v>
      </c>
      <c r="N53" s="127"/>
      <c r="O53" s="128"/>
      <c r="P53" s="129"/>
      <c r="Q53" s="121"/>
      <c r="R53" s="121"/>
      <c r="U53" s="47">
        <v>240</v>
      </c>
      <c r="V53" s="52">
        <v>0.02</v>
      </c>
      <c r="W53" s="52">
        <f t="shared" si="2"/>
        <v>6.3508529610858845E-6</v>
      </c>
      <c r="X53" s="122"/>
      <c r="Y53" s="122"/>
      <c r="Z53" s="108"/>
      <c r="AA53" s="108"/>
      <c r="AB53" s="108"/>
    </row>
    <row r="54" spans="7:28" ht="21" customHeight="1" thickBot="1" x14ac:dyDescent="0.25">
      <c r="G54" s="47">
        <v>980</v>
      </c>
      <c r="H54" s="46">
        <v>0.124</v>
      </c>
      <c r="J54" s="56">
        <v>74</v>
      </c>
      <c r="K54" s="56">
        <f t="shared" si="0"/>
        <v>0.57735026918962584</v>
      </c>
      <c r="L54" s="57">
        <v>3.04</v>
      </c>
      <c r="M54" s="57">
        <f t="shared" si="1"/>
        <v>8.7814975943742088E-4</v>
      </c>
      <c r="N54" s="127"/>
      <c r="O54" s="128"/>
      <c r="P54" s="129"/>
      <c r="Q54" s="121"/>
      <c r="R54" s="121"/>
      <c r="U54" s="47">
        <v>260</v>
      </c>
      <c r="V54" s="52">
        <v>0</v>
      </c>
      <c r="W54" s="52">
        <f t="shared" si="2"/>
        <v>5.7735026918962589E-7</v>
      </c>
      <c r="X54" s="122"/>
      <c r="Y54" s="122"/>
      <c r="Z54" s="108"/>
      <c r="AA54" s="108"/>
      <c r="AB54" s="108"/>
    </row>
    <row r="55" spans="7:28" ht="21" customHeight="1" thickBot="1" x14ac:dyDescent="0.25">
      <c r="G55" s="47">
        <v>1000</v>
      </c>
      <c r="H55" s="46">
        <v>0.123</v>
      </c>
      <c r="J55" s="56">
        <v>76</v>
      </c>
      <c r="K55" s="56">
        <f t="shared" si="0"/>
        <v>0.57735026918962584</v>
      </c>
      <c r="L55" s="57">
        <v>3.2</v>
      </c>
      <c r="M55" s="57">
        <f t="shared" si="1"/>
        <v>9.2433778097259086E-4</v>
      </c>
      <c r="N55" s="127"/>
      <c r="O55" s="128"/>
      <c r="P55" s="129"/>
      <c r="Q55" s="121"/>
      <c r="R55" s="121"/>
      <c r="U55" s="47">
        <v>280</v>
      </c>
      <c r="V55" s="52">
        <v>-0.01</v>
      </c>
      <c r="W55" s="52">
        <f t="shared" si="2"/>
        <v>-2.3094010767585036E-6</v>
      </c>
      <c r="X55" s="122"/>
      <c r="Y55" s="122"/>
      <c r="Z55" s="108"/>
      <c r="AA55" s="108"/>
      <c r="AB55" s="108"/>
    </row>
    <row r="56" spans="7:28" ht="21" customHeight="1" thickBot="1" x14ac:dyDescent="0.25">
      <c r="G56" s="47">
        <v>1020</v>
      </c>
      <c r="H56" s="46">
        <v>0.122</v>
      </c>
      <c r="J56" s="56">
        <v>78</v>
      </c>
      <c r="K56" s="56">
        <f t="shared" si="0"/>
        <v>0.57735026918962584</v>
      </c>
      <c r="L56" s="57">
        <v>3.3</v>
      </c>
      <c r="M56" s="57">
        <f t="shared" si="1"/>
        <v>9.5320529443207209E-4</v>
      </c>
      <c r="N56" s="127"/>
      <c r="O56" s="128"/>
      <c r="P56" s="129"/>
      <c r="Q56" s="121"/>
      <c r="R56" s="121"/>
      <c r="U56" s="47">
        <v>300</v>
      </c>
      <c r="V56" s="52">
        <v>-0.03</v>
      </c>
      <c r="W56" s="52">
        <f t="shared" si="2"/>
        <v>-8.082903768654761E-6</v>
      </c>
      <c r="X56" s="122"/>
      <c r="Y56" s="122"/>
      <c r="Z56" s="108"/>
      <c r="AA56" s="108"/>
      <c r="AB56" s="108"/>
    </row>
    <row r="57" spans="7:28" ht="21" customHeight="1" thickBot="1" x14ac:dyDescent="0.25">
      <c r="G57" s="47">
        <v>1040</v>
      </c>
      <c r="H57" s="46">
        <v>0.121</v>
      </c>
      <c r="U57" s="47">
        <v>320</v>
      </c>
      <c r="V57" s="52">
        <v>-0.06</v>
      </c>
      <c r="W57" s="52">
        <f t="shared" si="2"/>
        <v>-1.6743157806499149E-5</v>
      </c>
      <c r="X57" s="122"/>
      <c r="Y57" s="122"/>
      <c r="Z57" s="108"/>
      <c r="AA57" s="108"/>
      <c r="AB57" s="108"/>
    </row>
    <row r="58" spans="7:28" ht="26" thickBot="1" x14ac:dyDescent="0.25">
      <c r="G58" s="47">
        <v>1060</v>
      </c>
      <c r="H58" s="46">
        <v>0.11899999999999999</v>
      </c>
      <c r="J58" s="61" t="s">
        <v>30</v>
      </c>
      <c r="K58" s="61" t="s">
        <v>31</v>
      </c>
      <c r="L58" s="61" t="s">
        <v>32</v>
      </c>
      <c r="M58" s="61" t="s">
        <v>44</v>
      </c>
      <c r="N58" s="61" t="s">
        <v>45</v>
      </c>
      <c r="O58" s="61" t="s">
        <v>46</v>
      </c>
      <c r="P58" s="61" t="s">
        <v>47</v>
      </c>
      <c r="Q58" s="61" t="s">
        <v>54</v>
      </c>
      <c r="U58" s="47">
        <v>340</v>
      </c>
      <c r="V58" s="52">
        <v>-0.06</v>
      </c>
      <c r="W58" s="52">
        <f t="shared" si="2"/>
        <v>-1.6743157806499149E-5</v>
      </c>
      <c r="X58" s="122"/>
      <c r="Y58" s="122"/>
      <c r="Z58" s="108"/>
      <c r="AA58" s="108"/>
      <c r="AB58" s="108"/>
    </row>
    <row r="59" spans="7:28" ht="26" thickBot="1" x14ac:dyDescent="0.25">
      <c r="G59" s="47">
        <v>1080</v>
      </c>
      <c r="H59" s="46">
        <v>0.11700000000000001</v>
      </c>
      <c r="J59" s="62" t="s">
        <v>33</v>
      </c>
      <c r="K59" s="62" t="s">
        <v>34</v>
      </c>
      <c r="L59" s="62" t="s">
        <v>34</v>
      </c>
      <c r="M59" s="62" t="s">
        <v>34</v>
      </c>
      <c r="N59" s="62" t="s">
        <v>34</v>
      </c>
      <c r="O59" s="62" t="s">
        <v>35</v>
      </c>
      <c r="P59" s="62" t="s">
        <v>35</v>
      </c>
      <c r="Q59" s="62" t="s">
        <v>36</v>
      </c>
      <c r="U59" s="47">
        <v>360</v>
      </c>
      <c r="V59" s="52">
        <v>-0.05</v>
      </c>
      <c r="W59" s="52">
        <f t="shared" si="2"/>
        <v>-1.3856406460551019E-5</v>
      </c>
      <c r="X59" s="122"/>
      <c r="Y59" s="122"/>
      <c r="Z59" s="108"/>
      <c r="AA59" s="108"/>
      <c r="AB59" s="108"/>
    </row>
    <row r="60" spans="7:28" ht="21" customHeight="1" thickBot="1" x14ac:dyDescent="0.25">
      <c r="G60" s="47">
        <v>1100</v>
      </c>
      <c r="H60" s="46">
        <v>0.115</v>
      </c>
      <c r="J60" s="55">
        <v>580</v>
      </c>
      <c r="K60" s="60">
        <v>0.129</v>
      </c>
      <c r="L60" s="109">
        <f>(0.0005*K60+0.0001*0.01)/SQRT(3)</f>
        <v>3.7816442631920495E-5</v>
      </c>
      <c r="M60" s="112">
        <f>AVERAGE(K60:K75)</f>
        <v>0.12968749999999998</v>
      </c>
      <c r="N60" s="112">
        <f>(L78+M78)^(1/2)</f>
        <v>1.551977233509995E-4</v>
      </c>
      <c r="O60" s="115">
        <f>M60/N42</f>
        <v>2.7499053555465673</v>
      </c>
      <c r="P60" s="115">
        <f>( (-M60/(N42^2) * O42)^2 +( 1/N42 * N60)^2)^(1/2)</f>
        <v>5.5331316101216617E-2</v>
      </c>
      <c r="Q60" s="118">
        <f>2.02</f>
        <v>2.02</v>
      </c>
      <c r="U60" s="47">
        <v>380</v>
      </c>
      <c r="V60" s="52">
        <v>-0.02</v>
      </c>
      <c r="W60" s="52">
        <f t="shared" si="2"/>
        <v>-5.1961524227066321E-6</v>
      </c>
      <c r="X60" s="122"/>
      <c r="Y60" s="122"/>
      <c r="Z60" s="108"/>
      <c r="AA60" s="108"/>
      <c r="AB60" s="108"/>
    </row>
    <row r="61" spans="7:28" ht="21" customHeight="1" thickBot="1" x14ac:dyDescent="0.25">
      <c r="G61" s="47">
        <v>1120</v>
      </c>
      <c r="H61" s="46">
        <v>0.11</v>
      </c>
      <c r="J61" s="55">
        <v>600</v>
      </c>
      <c r="K61" s="60">
        <v>0.129</v>
      </c>
      <c r="L61" s="110"/>
      <c r="M61" s="113"/>
      <c r="N61" s="113"/>
      <c r="O61" s="116"/>
      <c r="P61" s="116"/>
      <c r="Q61" s="119"/>
      <c r="U61" s="47">
        <v>400</v>
      </c>
      <c r="V61" s="52">
        <v>0</v>
      </c>
      <c r="W61" s="52">
        <f t="shared" si="2"/>
        <v>5.7735026918962589E-7</v>
      </c>
      <c r="X61" s="122"/>
      <c r="Y61" s="122"/>
      <c r="Z61" s="108"/>
      <c r="AA61" s="108"/>
      <c r="AB61" s="108"/>
    </row>
    <row r="62" spans="7:28" ht="21" customHeight="1" thickBot="1" x14ac:dyDescent="0.25">
      <c r="G62" s="47">
        <v>1140</v>
      </c>
      <c r="H62" s="46">
        <v>0.106</v>
      </c>
      <c r="J62" s="55">
        <v>620</v>
      </c>
      <c r="K62" s="60">
        <v>0.13</v>
      </c>
      <c r="L62" s="110"/>
      <c r="M62" s="113"/>
      <c r="N62" s="113"/>
      <c r="O62" s="116"/>
      <c r="P62" s="116"/>
      <c r="Q62" s="119"/>
      <c r="U62" s="47">
        <v>420</v>
      </c>
      <c r="V62" s="52">
        <v>0.03</v>
      </c>
      <c r="W62" s="52">
        <f t="shared" si="2"/>
        <v>9.2376043070340125E-6</v>
      </c>
      <c r="X62" s="122"/>
      <c r="Y62" s="122"/>
      <c r="Z62" s="108"/>
      <c r="AA62" s="108"/>
      <c r="AB62" s="108"/>
    </row>
    <row r="63" spans="7:28" ht="21" customHeight="1" thickBot="1" x14ac:dyDescent="0.25">
      <c r="G63" s="47">
        <v>1160</v>
      </c>
      <c r="H63" s="46">
        <v>0.10199999999999999</v>
      </c>
      <c r="J63" s="55">
        <v>640</v>
      </c>
      <c r="K63" s="60">
        <v>0.13</v>
      </c>
      <c r="L63" s="110"/>
      <c r="M63" s="113"/>
      <c r="N63" s="113"/>
      <c r="O63" s="116"/>
      <c r="P63" s="116"/>
      <c r="Q63" s="119"/>
      <c r="U63" s="47">
        <v>440</v>
      </c>
      <c r="V63" s="52">
        <v>0.06</v>
      </c>
      <c r="W63" s="52">
        <f t="shared" si="2"/>
        <v>1.7897858344878401E-5</v>
      </c>
      <c r="X63" s="122"/>
      <c r="Y63" s="122"/>
      <c r="Z63" s="108"/>
      <c r="AA63" s="108"/>
      <c r="AB63" s="108"/>
    </row>
    <row r="64" spans="7:28" ht="21" customHeight="1" thickBot="1" x14ac:dyDescent="0.25">
      <c r="G64" s="47">
        <v>1180</v>
      </c>
      <c r="H64" s="46">
        <v>9.8000000000000004E-2</v>
      </c>
      <c r="J64" s="55">
        <v>660</v>
      </c>
      <c r="K64" s="60">
        <v>0.13</v>
      </c>
      <c r="L64" s="110"/>
      <c r="M64" s="113"/>
      <c r="N64" s="113"/>
      <c r="O64" s="116"/>
      <c r="P64" s="116"/>
      <c r="Q64" s="119"/>
      <c r="U64" s="47">
        <v>460</v>
      </c>
      <c r="V64" s="52">
        <v>0.09</v>
      </c>
      <c r="W64" s="52">
        <f t="shared" si="2"/>
        <v>2.6558112382722783E-5</v>
      </c>
      <c r="X64" s="122"/>
      <c r="Y64" s="122"/>
      <c r="Z64" s="108"/>
      <c r="AA64" s="108"/>
      <c r="AB64" s="108"/>
    </row>
    <row r="65" spans="7:28" ht="21" customHeight="1" thickBot="1" x14ac:dyDescent="0.25">
      <c r="G65" s="47">
        <v>1200</v>
      </c>
      <c r="H65" s="46">
        <v>9.2999999999999999E-2</v>
      </c>
      <c r="J65" s="55">
        <v>680</v>
      </c>
      <c r="K65" s="60">
        <v>0.13</v>
      </c>
      <c r="L65" s="110"/>
      <c r="M65" s="113"/>
      <c r="N65" s="113"/>
      <c r="O65" s="116"/>
      <c r="P65" s="116"/>
      <c r="Q65" s="119"/>
      <c r="U65" s="47">
        <v>480</v>
      </c>
      <c r="V65" s="52">
        <v>0.11700000000000001</v>
      </c>
      <c r="W65" s="52">
        <f t="shared" si="2"/>
        <v>3.4352341016782737E-5</v>
      </c>
      <c r="X65" s="122"/>
      <c r="Y65" s="122"/>
      <c r="Z65" s="108"/>
      <c r="AA65" s="108"/>
      <c r="AB65" s="108"/>
    </row>
    <row r="66" spans="7:28" ht="21" customHeight="1" thickBot="1" x14ac:dyDescent="0.25">
      <c r="G66" s="47">
        <v>1220</v>
      </c>
      <c r="H66" s="46">
        <v>8.8999999999999996E-2</v>
      </c>
      <c r="J66" s="55">
        <v>700</v>
      </c>
      <c r="K66" s="60">
        <v>0.13</v>
      </c>
      <c r="L66" s="110"/>
      <c r="M66" s="113"/>
      <c r="N66" s="113"/>
      <c r="O66" s="116"/>
      <c r="P66" s="116"/>
      <c r="Q66" s="119"/>
      <c r="U66" s="47">
        <v>500</v>
      </c>
      <c r="V66" s="52">
        <v>0.121</v>
      </c>
      <c r="W66" s="52">
        <f t="shared" si="2"/>
        <v>3.5507041555161992E-5</v>
      </c>
      <c r="X66" s="122"/>
      <c r="Y66" s="122"/>
      <c r="Z66" s="108"/>
      <c r="AA66" s="108"/>
      <c r="AB66" s="108"/>
    </row>
    <row r="67" spans="7:28" ht="21" customHeight="1" thickBot="1" x14ac:dyDescent="0.25">
      <c r="G67" s="47">
        <v>1240</v>
      </c>
      <c r="H67" s="46">
        <v>8.5999999999999993E-2</v>
      </c>
      <c r="J67" s="55">
        <v>720</v>
      </c>
      <c r="K67" s="60">
        <v>0.13</v>
      </c>
      <c r="L67" s="110"/>
      <c r="M67" s="113"/>
      <c r="N67" s="113"/>
      <c r="O67" s="116"/>
      <c r="P67" s="116"/>
      <c r="Q67" s="119"/>
      <c r="U67" s="47">
        <v>520</v>
      </c>
      <c r="V67" s="52">
        <v>0.123</v>
      </c>
      <c r="W67" s="52">
        <f t="shared" si="2"/>
        <v>3.6084391824351612E-5</v>
      </c>
      <c r="X67" s="122"/>
      <c r="Y67" s="122"/>
      <c r="Z67" s="108"/>
      <c r="AA67" s="108"/>
      <c r="AB67" s="108"/>
    </row>
    <row r="68" spans="7:28" ht="21" customHeight="1" thickBot="1" x14ac:dyDescent="0.25">
      <c r="G68" s="47">
        <v>1260</v>
      </c>
      <c r="H68" s="46">
        <v>8.1000000000000003E-2</v>
      </c>
      <c r="J68" s="55">
        <v>740</v>
      </c>
      <c r="K68" s="60">
        <v>0.13</v>
      </c>
      <c r="L68" s="110"/>
      <c r="M68" s="113"/>
      <c r="N68" s="113"/>
      <c r="O68" s="116"/>
      <c r="P68" s="116"/>
      <c r="Q68" s="119"/>
      <c r="U68" s="47">
        <v>540</v>
      </c>
      <c r="V68" s="52">
        <v>0.125</v>
      </c>
      <c r="W68" s="52">
        <f t="shared" si="2"/>
        <v>3.666174209354124E-5</v>
      </c>
      <c r="X68" s="122"/>
      <c r="Y68" s="122"/>
      <c r="Z68" s="108"/>
      <c r="AA68" s="108"/>
      <c r="AB68" s="108"/>
    </row>
    <row r="69" spans="7:28" ht="21" customHeight="1" thickBot="1" x14ac:dyDescent="0.25">
      <c r="G69" s="47">
        <v>1280</v>
      </c>
      <c r="H69" s="46">
        <v>7.6999999999999999E-2</v>
      </c>
      <c r="J69" s="55">
        <v>760</v>
      </c>
      <c r="K69" s="60">
        <v>0.13</v>
      </c>
      <c r="L69" s="110"/>
      <c r="M69" s="113"/>
      <c r="N69" s="113"/>
      <c r="O69" s="116"/>
      <c r="P69" s="116"/>
      <c r="Q69" s="119"/>
      <c r="U69" s="47">
        <v>560</v>
      </c>
      <c r="V69" s="52">
        <v>0.128</v>
      </c>
      <c r="W69" s="52">
        <f t="shared" si="2"/>
        <v>3.7527767497325671E-5</v>
      </c>
      <c r="X69" s="122"/>
      <c r="Y69" s="122"/>
      <c r="Z69" s="108"/>
      <c r="AA69" s="108"/>
      <c r="AB69" s="108"/>
    </row>
    <row r="70" spans="7:28" ht="21" customHeight="1" thickBot="1" x14ac:dyDescent="0.25">
      <c r="G70" s="47">
        <v>1300</v>
      </c>
      <c r="H70" s="46">
        <v>7.2999999999999995E-2</v>
      </c>
      <c r="J70" s="55">
        <v>780</v>
      </c>
      <c r="K70" s="60">
        <v>0.13</v>
      </c>
      <c r="L70" s="110"/>
      <c r="M70" s="113"/>
      <c r="N70" s="113"/>
      <c r="O70" s="116"/>
      <c r="P70" s="116"/>
      <c r="Q70" s="119"/>
      <c r="U70" s="47">
        <v>580</v>
      </c>
      <c r="V70" s="52">
        <v>0.129</v>
      </c>
      <c r="W70" s="52">
        <f t="shared" si="2"/>
        <v>3.7816442631920495E-5</v>
      </c>
      <c r="X70" s="122"/>
      <c r="Y70" s="122"/>
      <c r="Z70" s="108"/>
      <c r="AA70" s="108"/>
      <c r="AB70" s="108"/>
    </row>
    <row r="71" spans="7:28" ht="21" customHeight="1" thickBot="1" x14ac:dyDescent="0.25">
      <c r="G71" s="47">
        <v>1320</v>
      </c>
      <c r="H71" s="46">
        <v>6.8000000000000005E-2</v>
      </c>
      <c r="J71" s="55">
        <v>800</v>
      </c>
      <c r="K71" s="60">
        <v>0.13</v>
      </c>
      <c r="L71" s="110"/>
      <c r="M71" s="113"/>
      <c r="N71" s="113"/>
      <c r="O71" s="116"/>
      <c r="P71" s="116"/>
      <c r="Q71" s="119"/>
      <c r="U71" s="47">
        <v>600</v>
      </c>
      <c r="V71" s="52">
        <v>0.129</v>
      </c>
      <c r="W71" s="52">
        <f t="shared" si="2"/>
        <v>3.7816442631920495E-5</v>
      </c>
      <c r="X71" s="122"/>
      <c r="Y71" s="122"/>
      <c r="Z71" s="108"/>
      <c r="AA71" s="108"/>
      <c r="AB71" s="108"/>
    </row>
    <row r="72" spans="7:28" ht="21" customHeight="1" thickBot="1" x14ac:dyDescent="0.25">
      <c r="G72" s="47">
        <v>1340</v>
      </c>
      <c r="H72" s="46">
        <v>6.4000000000000001E-2</v>
      </c>
      <c r="J72" s="55">
        <v>820</v>
      </c>
      <c r="K72" s="60">
        <v>0.13</v>
      </c>
      <c r="L72" s="110"/>
      <c r="M72" s="113"/>
      <c r="N72" s="113"/>
      <c r="O72" s="116"/>
      <c r="P72" s="116"/>
      <c r="Q72" s="119"/>
      <c r="U72" s="47">
        <v>620</v>
      </c>
      <c r="V72" s="52">
        <v>0.13</v>
      </c>
      <c r="W72" s="52">
        <f t="shared" si="2"/>
        <v>3.8105117766515305E-5</v>
      </c>
      <c r="X72" s="122"/>
      <c r="Y72" s="122"/>
      <c r="Z72" s="108"/>
      <c r="AA72" s="108"/>
      <c r="AB72" s="108"/>
    </row>
    <row r="73" spans="7:28" ht="21" customHeight="1" thickBot="1" x14ac:dyDescent="0.25">
      <c r="G73" s="47">
        <v>1360</v>
      </c>
      <c r="H73" s="46">
        <v>5.8000000000000003E-2</v>
      </c>
      <c r="J73" s="55">
        <v>840</v>
      </c>
      <c r="K73" s="60">
        <v>0.13</v>
      </c>
      <c r="L73" s="110"/>
      <c r="M73" s="113"/>
      <c r="N73" s="113"/>
      <c r="O73" s="116"/>
      <c r="P73" s="116"/>
      <c r="Q73" s="119"/>
      <c r="U73" s="47">
        <v>640</v>
      </c>
      <c r="V73" s="52">
        <v>0.13</v>
      </c>
      <c r="W73" s="52">
        <f t="shared" si="2"/>
        <v>3.8105117766515305E-5</v>
      </c>
      <c r="X73" s="122"/>
      <c r="Y73" s="122"/>
      <c r="Z73" s="108"/>
      <c r="AA73" s="108"/>
      <c r="AB73" s="108"/>
    </row>
    <row r="74" spans="7:28" ht="21" customHeight="1" thickBot="1" x14ac:dyDescent="0.25">
      <c r="G74" s="47">
        <v>1380</v>
      </c>
      <c r="H74" s="46">
        <v>5.1999999999999998E-2</v>
      </c>
      <c r="J74" s="55">
        <v>860</v>
      </c>
      <c r="K74" s="60">
        <v>0.129</v>
      </c>
      <c r="L74" s="110"/>
      <c r="M74" s="113"/>
      <c r="N74" s="113"/>
      <c r="O74" s="116"/>
      <c r="P74" s="116"/>
      <c r="Q74" s="119"/>
      <c r="U74" s="47">
        <v>660</v>
      </c>
      <c r="V74" s="52">
        <v>0.13</v>
      </c>
      <c r="W74" s="52">
        <f t="shared" si="2"/>
        <v>3.8105117766515305E-5</v>
      </c>
      <c r="X74" s="122"/>
      <c r="Y74" s="122"/>
      <c r="Z74" s="108"/>
      <c r="AA74" s="108"/>
      <c r="AB74" s="108"/>
    </row>
    <row r="75" spans="7:28" ht="21" customHeight="1" thickBot="1" x14ac:dyDescent="0.25">
      <c r="G75" s="47">
        <v>1400</v>
      </c>
      <c r="H75" s="46">
        <v>4.9000000000000002E-2</v>
      </c>
      <c r="J75" s="55">
        <v>880</v>
      </c>
      <c r="K75" s="60">
        <v>0.128</v>
      </c>
      <c r="L75" s="111"/>
      <c r="M75" s="114"/>
      <c r="N75" s="114"/>
      <c r="O75" s="117"/>
      <c r="P75" s="117"/>
      <c r="Q75" s="120"/>
      <c r="U75" s="47">
        <v>680</v>
      </c>
      <c r="V75" s="52">
        <v>0.13</v>
      </c>
      <c r="W75" s="52">
        <f t="shared" si="2"/>
        <v>3.8105117766515305E-5</v>
      </c>
      <c r="X75" s="122"/>
      <c r="Y75" s="122"/>
      <c r="Z75" s="108"/>
      <c r="AA75" s="108"/>
      <c r="AB75" s="108"/>
    </row>
    <row r="76" spans="7:28" ht="21" customHeight="1" x14ac:dyDescent="0.2">
      <c r="G76" s="47">
        <v>1420</v>
      </c>
      <c r="H76" s="46">
        <v>4.2999999999999997E-2</v>
      </c>
      <c r="U76" s="47">
        <v>700</v>
      </c>
      <c r="V76" s="52">
        <v>0.13</v>
      </c>
      <c r="W76" s="52">
        <f t="shared" si="2"/>
        <v>3.8105117766515305E-5</v>
      </c>
      <c r="X76" s="122"/>
      <c r="Y76" s="122"/>
      <c r="Z76" s="108"/>
      <c r="AA76" s="108"/>
      <c r="AB76" s="108"/>
    </row>
    <row r="77" spans="7:28" ht="21" customHeight="1" x14ac:dyDescent="0.2">
      <c r="G77" s="47">
        <v>1440</v>
      </c>
      <c r="H77" s="46">
        <v>3.6999999999999998E-2</v>
      </c>
      <c r="J77" s="43" t="s">
        <v>57</v>
      </c>
      <c r="K77" s="43" t="s">
        <v>58</v>
      </c>
      <c r="L77" s="43" t="s">
        <v>59</v>
      </c>
      <c r="M77" s="43" t="s">
        <v>60</v>
      </c>
      <c r="U77" s="47">
        <v>720</v>
      </c>
      <c r="V77" s="52">
        <v>0.13</v>
      </c>
      <c r="W77" s="52">
        <f t="shared" si="2"/>
        <v>3.8105117766515305E-5</v>
      </c>
      <c r="X77" s="122"/>
      <c r="Y77" s="122"/>
      <c r="Z77" s="108"/>
      <c r="AA77" s="108"/>
      <c r="AB77" s="108"/>
    </row>
    <row r="78" spans="7:28" ht="21" customHeight="1" x14ac:dyDescent="0.2">
      <c r="G78" s="47">
        <v>1460</v>
      </c>
      <c r="H78" s="46">
        <v>3.1E-2</v>
      </c>
      <c r="J78" s="59">
        <f>J80/(16*15)</f>
        <v>2.2656250000000041E-8</v>
      </c>
      <c r="L78" s="59">
        <f>J78</f>
        <v>2.2656250000000041E-8</v>
      </c>
      <c r="M78" s="43">
        <f>(0.0005*K60+0.0001*0.01)^2 / 3</f>
        <v>1.4300833333333336E-9</v>
      </c>
      <c r="U78" s="47">
        <v>740</v>
      </c>
      <c r="V78" s="52">
        <v>0.13</v>
      </c>
      <c r="W78" s="52">
        <f t="shared" si="2"/>
        <v>3.8105117766515305E-5</v>
      </c>
      <c r="X78" s="122"/>
      <c r="Y78" s="122"/>
      <c r="Z78" s="108"/>
      <c r="AA78" s="108"/>
      <c r="AB78" s="108"/>
    </row>
    <row r="79" spans="7:28" ht="21" customHeight="1" x14ac:dyDescent="0.2">
      <c r="G79" s="48"/>
      <c r="H79" s="49"/>
      <c r="U79" s="47">
        <v>760</v>
      </c>
      <c r="V79" s="52">
        <v>0.13</v>
      </c>
      <c r="W79" s="52">
        <f t="shared" si="2"/>
        <v>3.8105117766515305E-5</v>
      </c>
      <c r="X79" s="122"/>
      <c r="Y79" s="122"/>
      <c r="Z79" s="108"/>
      <c r="AA79" s="108"/>
      <c r="AB79" s="108"/>
    </row>
    <row r="80" spans="7:28" ht="21" customHeight="1" x14ac:dyDescent="0.2">
      <c r="G80" s="48"/>
      <c r="H80" s="58">
        <f>(H34 - $M$60)^2</f>
        <v>4.7265624999997221E-7</v>
      </c>
      <c r="J80" s="58">
        <f>SUM(H80:H95)</f>
        <v>5.4375000000000102E-6</v>
      </c>
      <c r="U80" s="47">
        <v>780</v>
      </c>
      <c r="V80" s="52">
        <v>0.13</v>
      </c>
      <c r="W80" s="52">
        <f t="shared" si="2"/>
        <v>3.8105117766515305E-5</v>
      </c>
      <c r="X80" s="122"/>
      <c r="Y80" s="122"/>
      <c r="Z80" s="108"/>
      <c r="AA80" s="108"/>
      <c r="AB80" s="108"/>
    </row>
    <row r="81" spans="8:28" ht="21" customHeight="1" x14ac:dyDescent="0.2">
      <c r="H81" s="58">
        <f t="shared" ref="H81:H95" si="3">(H35 - $M$60)^2</f>
        <v>4.7265624999997221E-7</v>
      </c>
      <c r="U81" s="47">
        <v>800</v>
      </c>
      <c r="V81" s="52">
        <v>0.13</v>
      </c>
      <c r="W81" s="52">
        <f t="shared" si="2"/>
        <v>3.8105117766515305E-5</v>
      </c>
      <c r="X81" s="122"/>
      <c r="Y81" s="122"/>
      <c r="Z81" s="108"/>
      <c r="AA81" s="108"/>
      <c r="AB81" s="108"/>
    </row>
    <row r="82" spans="8:28" ht="21" customHeight="1" x14ac:dyDescent="0.2">
      <c r="H82" s="58">
        <f t="shared" si="3"/>
        <v>9.7656250000013187E-8</v>
      </c>
      <c r="U82" s="47">
        <v>820</v>
      </c>
      <c r="V82" s="52">
        <v>0.13</v>
      </c>
      <c r="W82" s="52">
        <f t="shared" si="2"/>
        <v>3.8105117766515305E-5</v>
      </c>
      <c r="X82" s="122"/>
      <c r="Y82" s="122"/>
      <c r="Z82" s="108"/>
      <c r="AA82" s="108"/>
      <c r="AB82" s="108"/>
    </row>
    <row r="83" spans="8:28" ht="21" customHeight="1" x14ac:dyDescent="0.2">
      <c r="H83" s="58">
        <f t="shared" si="3"/>
        <v>9.7656250000013187E-8</v>
      </c>
      <c r="U83" s="47">
        <v>840</v>
      </c>
      <c r="V83" s="52">
        <v>0.13</v>
      </c>
      <c r="W83" s="52">
        <f t="shared" si="2"/>
        <v>3.8105117766515305E-5</v>
      </c>
      <c r="X83" s="122"/>
      <c r="Y83" s="122"/>
      <c r="Z83" s="108"/>
      <c r="AA83" s="108"/>
      <c r="AB83" s="108"/>
    </row>
    <row r="84" spans="8:28" ht="21" customHeight="1" x14ac:dyDescent="0.2">
      <c r="H84" s="58">
        <f t="shared" si="3"/>
        <v>9.7656250000013187E-8</v>
      </c>
      <c r="U84" s="47">
        <v>860</v>
      </c>
      <c r="V84" s="52">
        <v>0.129</v>
      </c>
      <c r="W84" s="52">
        <f t="shared" si="2"/>
        <v>3.7816442631920495E-5</v>
      </c>
      <c r="X84" s="122"/>
      <c r="Y84" s="122"/>
      <c r="Z84" s="108"/>
      <c r="AA84" s="108"/>
      <c r="AB84" s="108"/>
    </row>
    <row r="85" spans="8:28" ht="21" customHeight="1" x14ac:dyDescent="0.2">
      <c r="H85" s="58">
        <f t="shared" si="3"/>
        <v>9.7656250000013187E-8</v>
      </c>
      <c r="U85" s="47">
        <v>880</v>
      </c>
      <c r="V85" s="52">
        <v>0.128</v>
      </c>
      <c r="W85" s="52">
        <f t="shared" si="2"/>
        <v>3.7527767497325671E-5</v>
      </c>
      <c r="X85" s="122"/>
      <c r="Y85" s="122"/>
      <c r="Z85" s="108"/>
      <c r="AA85" s="108"/>
      <c r="AB85" s="108"/>
    </row>
    <row r="86" spans="8:28" ht="21" customHeight="1" x14ac:dyDescent="0.2">
      <c r="H86" s="58">
        <f t="shared" si="3"/>
        <v>9.7656250000013187E-8</v>
      </c>
      <c r="U86" s="47">
        <v>900</v>
      </c>
      <c r="V86" s="52">
        <v>0.127</v>
      </c>
      <c r="W86" s="52">
        <f t="shared" si="2"/>
        <v>3.723909236273086E-5</v>
      </c>
      <c r="X86" s="122"/>
      <c r="Y86" s="122"/>
      <c r="Z86" s="108"/>
      <c r="AA86" s="108"/>
      <c r="AB86" s="108"/>
    </row>
    <row r="87" spans="8:28" ht="21" customHeight="1" x14ac:dyDescent="0.2">
      <c r="H87" s="58">
        <f t="shared" si="3"/>
        <v>9.7656250000013187E-8</v>
      </c>
      <c r="U87" s="47">
        <v>920</v>
      </c>
      <c r="V87" s="52">
        <v>0.126</v>
      </c>
      <c r="W87" s="52">
        <f t="shared" si="2"/>
        <v>3.695041722813605E-5</v>
      </c>
      <c r="X87" s="122"/>
      <c r="Y87" s="122"/>
      <c r="Z87" s="108"/>
      <c r="AA87" s="108"/>
      <c r="AB87" s="108"/>
    </row>
    <row r="88" spans="8:28" ht="21" customHeight="1" x14ac:dyDescent="0.2">
      <c r="H88" s="58">
        <f t="shared" si="3"/>
        <v>9.7656250000013187E-8</v>
      </c>
      <c r="U88" s="47">
        <v>940</v>
      </c>
      <c r="V88" s="52">
        <v>0.126</v>
      </c>
      <c r="W88" s="52">
        <f t="shared" si="2"/>
        <v>3.695041722813605E-5</v>
      </c>
      <c r="X88" s="122"/>
      <c r="Y88" s="122"/>
      <c r="Z88" s="108"/>
      <c r="AA88" s="108"/>
      <c r="AB88" s="108"/>
    </row>
    <row r="89" spans="8:28" ht="21" customHeight="1" x14ac:dyDescent="0.2">
      <c r="H89" s="58">
        <f t="shared" si="3"/>
        <v>9.7656250000013187E-8</v>
      </c>
      <c r="U89" s="47">
        <v>960</v>
      </c>
      <c r="V89" s="52">
        <v>0.125</v>
      </c>
      <c r="W89" s="52">
        <f t="shared" si="2"/>
        <v>3.666174209354124E-5</v>
      </c>
      <c r="X89" s="122"/>
      <c r="Y89" s="122"/>
      <c r="Z89" s="108"/>
      <c r="AA89" s="108"/>
      <c r="AB89" s="108"/>
    </row>
    <row r="90" spans="8:28" ht="21" customHeight="1" x14ac:dyDescent="0.2">
      <c r="H90" s="58">
        <f t="shared" si="3"/>
        <v>9.7656250000013187E-8</v>
      </c>
      <c r="U90" s="47">
        <v>980</v>
      </c>
      <c r="V90" s="52">
        <v>0.124</v>
      </c>
      <c r="W90" s="52">
        <f t="shared" si="2"/>
        <v>3.6373066958946423E-5</v>
      </c>
      <c r="X90" s="122"/>
      <c r="Y90" s="122"/>
      <c r="Z90" s="108"/>
      <c r="AA90" s="108"/>
      <c r="AB90" s="108"/>
    </row>
    <row r="91" spans="8:28" ht="21" customHeight="1" x14ac:dyDescent="0.2">
      <c r="H91" s="58">
        <f t="shared" si="3"/>
        <v>9.7656250000013187E-8</v>
      </c>
      <c r="U91" s="47">
        <v>1000</v>
      </c>
      <c r="V91" s="52">
        <v>0.123</v>
      </c>
      <c r="W91" s="52">
        <f t="shared" si="2"/>
        <v>3.6084391824351612E-5</v>
      </c>
      <c r="X91" s="122"/>
      <c r="Y91" s="122"/>
      <c r="Z91" s="108"/>
      <c r="AA91" s="108"/>
      <c r="AB91" s="108"/>
    </row>
    <row r="92" spans="8:28" ht="21" customHeight="1" x14ac:dyDescent="0.2">
      <c r="H92" s="58">
        <f t="shared" si="3"/>
        <v>9.7656250000013187E-8</v>
      </c>
      <c r="U92" s="47">
        <v>1020</v>
      </c>
      <c r="V92" s="52">
        <v>0.122</v>
      </c>
      <c r="W92" s="52">
        <f t="shared" si="2"/>
        <v>3.5795716689756802E-5</v>
      </c>
      <c r="X92" s="122"/>
      <c r="Y92" s="122"/>
      <c r="Z92" s="108"/>
      <c r="AA92" s="108"/>
      <c r="AB92" s="108"/>
    </row>
    <row r="93" spans="8:28" ht="21" customHeight="1" x14ac:dyDescent="0.2">
      <c r="H93" s="58">
        <f t="shared" si="3"/>
        <v>9.7656250000013187E-8</v>
      </c>
      <c r="U93" s="47">
        <v>1040</v>
      </c>
      <c r="V93" s="52">
        <v>0.121</v>
      </c>
      <c r="W93" s="52">
        <f t="shared" si="2"/>
        <v>3.5507041555161992E-5</v>
      </c>
      <c r="X93" s="122"/>
      <c r="Y93" s="122"/>
      <c r="Z93" s="108"/>
      <c r="AA93" s="108"/>
      <c r="AB93" s="108"/>
    </row>
    <row r="94" spans="8:28" ht="21" customHeight="1" x14ac:dyDescent="0.2">
      <c r="H94" s="58">
        <f t="shared" si="3"/>
        <v>4.7265624999997221E-7</v>
      </c>
      <c r="U94" s="47">
        <v>1060</v>
      </c>
      <c r="V94" s="52">
        <v>0.11899999999999999</v>
      </c>
      <c r="W94" s="52">
        <f t="shared" si="2"/>
        <v>3.4929691285972357E-5</v>
      </c>
      <c r="X94" s="122"/>
      <c r="Y94" s="122"/>
      <c r="Z94" s="108"/>
      <c r="AA94" s="108"/>
      <c r="AB94" s="108"/>
    </row>
    <row r="95" spans="8:28" ht="21" customHeight="1" x14ac:dyDescent="0.2">
      <c r="H95" s="58">
        <f t="shared" si="3"/>
        <v>2.847656249999935E-6</v>
      </c>
      <c r="U95" s="47">
        <v>1080</v>
      </c>
      <c r="V95" s="52">
        <v>0.11700000000000001</v>
      </c>
      <c r="W95" s="52">
        <f t="shared" si="2"/>
        <v>3.4352341016782737E-5</v>
      </c>
      <c r="X95" s="122"/>
      <c r="Y95" s="122"/>
      <c r="Z95" s="108"/>
      <c r="AA95" s="108"/>
      <c r="AB95" s="108"/>
    </row>
    <row r="96" spans="8:28" ht="21" customHeight="1" thickBot="1" x14ac:dyDescent="0.25">
      <c r="U96" s="47">
        <v>1100</v>
      </c>
      <c r="V96" s="52">
        <v>0.115</v>
      </c>
      <c r="W96" s="52">
        <f t="shared" si="2"/>
        <v>3.3774990747593109E-5</v>
      </c>
      <c r="X96" s="122"/>
      <c r="Y96" s="122"/>
      <c r="Z96" s="108"/>
      <c r="AA96" s="108"/>
      <c r="AB96" s="108"/>
    </row>
    <row r="97" spans="8:28" ht="26" thickBot="1" x14ac:dyDescent="0.25">
      <c r="J97" s="61" t="s">
        <v>30</v>
      </c>
      <c r="K97" s="61" t="s">
        <v>31</v>
      </c>
      <c r="L97" s="61" t="s">
        <v>32</v>
      </c>
      <c r="M97" s="61" t="s">
        <v>101</v>
      </c>
      <c r="N97" s="61" t="s">
        <v>102</v>
      </c>
      <c r="O97" s="61" t="s">
        <v>103</v>
      </c>
      <c r="P97" s="61" t="s">
        <v>104</v>
      </c>
      <c r="Q97" s="61" t="s">
        <v>105</v>
      </c>
      <c r="U97" s="47">
        <v>1120</v>
      </c>
      <c r="V97" s="52">
        <v>0.11</v>
      </c>
      <c r="W97" s="52">
        <f t="shared" si="2"/>
        <v>3.2331615074619044E-5</v>
      </c>
      <c r="X97" s="122"/>
      <c r="Y97" s="122"/>
      <c r="Z97" s="108"/>
      <c r="AA97" s="108"/>
      <c r="AB97" s="108"/>
    </row>
    <row r="98" spans="8:28" ht="25" x14ac:dyDescent="0.2">
      <c r="J98" s="92" t="s">
        <v>33</v>
      </c>
      <c r="K98" s="92" t="s">
        <v>34</v>
      </c>
      <c r="L98" s="92" t="s">
        <v>34</v>
      </c>
      <c r="M98" s="92" t="s">
        <v>34</v>
      </c>
      <c r="N98" s="92" t="s">
        <v>34</v>
      </c>
      <c r="O98" s="92" t="s">
        <v>35</v>
      </c>
      <c r="P98" s="92" t="s">
        <v>35</v>
      </c>
      <c r="Q98" s="92" t="s">
        <v>36</v>
      </c>
      <c r="U98" s="47">
        <v>1140</v>
      </c>
      <c r="V98" s="52">
        <v>0.106</v>
      </c>
      <c r="W98" s="52">
        <f t="shared" si="2"/>
        <v>3.1176914536239789E-5</v>
      </c>
      <c r="X98" s="122"/>
      <c r="Y98" s="122"/>
      <c r="Z98" s="108"/>
      <c r="AA98" s="108"/>
      <c r="AB98" s="108"/>
    </row>
    <row r="99" spans="8:28" ht="21" customHeight="1" x14ac:dyDescent="0.2">
      <c r="H99" s="43">
        <f>CEILING(L99,2)</f>
        <v>2</v>
      </c>
      <c r="J99" s="87">
        <v>20</v>
      </c>
      <c r="K99" s="88">
        <v>0.55000000000000004</v>
      </c>
      <c r="L99" s="88">
        <f>(0.0005*K99+0.0001*0.01)/SQRT(3)</f>
        <v>1.5934867429633675E-4</v>
      </c>
      <c r="M99" s="123">
        <v>0.12968749999999998</v>
      </c>
      <c r="N99" s="123">
        <v>1.551977233509995E-4</v>
      </c>
      <c r="O99" s="124">
        <v>2.74990535554657</v>
      </c>
      <c r="P99" s="124">
        <v>5.5331316101216617E-2</v>
      </c>
      <c r="Q99" s="125">
        <v>2.02</v>
      </c>
      <c r="U99" s="47">
        <v>1160</v>
      </c>
      <c r="V99" s="52">
        <v>0.10199999999999999</v>
      </c>
      <c r="W99" s="52">
        <f t="shared" si="2"/>
        <v>3.0022213997860541E-5</v>
      </c>
      <c r="X99" s="122"/>
      <c r="Y99" s="122"/>
      <c r="Z99" s="108"/>
      <c r="AA99" s="108"/>
      <c r="AB99" s="108"/>
    </row>
    <row r="100" spans="8:28" ht="21" customHeight="1" x14ac:dyDescent="0.2">
      <c r="J100" s="87">
        <v>40</v>
      </c>
      <c r="K100" s="88">
        <v>0.5</v>
      </c>
      <c r="L100" s="88">
        <f t="shared" ref="L100:L163" si="4">(0.0005*K100+0.0001*0.01)/SQRT(3)</f>
        <v>1.4491491756659608E-4</v>
      </c>
      <c r="M100" s="123"/>
      <c r="N100" s="123"/>
      <c r="O100" s="124"/>
      <c r="P100" s="124"/>
      <c r="Q100" s="125"/>
      <c r="U100" s="47">
        <v>1180</v>
      </c>
      <c r="V100" s="52">
        <v>9.8000000000000004E-2</v>
      </c>
      <c r="W100" s="52">
        <f t="shared" si="2"/>
        <v>2.8867513459481293E-5</v>
      </c>
      <c r="X100" s="122"/>
      <c r="Y100" s="122"/>
      <c r="Z100" s="108"/>
      <c r="AA100" s="108"/>
      <c r="AB100" s="108"/>
    </row>
    <row r="101" spans="8:28" ht="21" customHeight="1" x14ac:dyDescent="0.2">
      <c r="J101" s="87">
        <v>60</v>
      </c>
      <c r="K101" s="88">
        <v>0.45</v>
      </c>
      <c r="L101" s="88">
        <f t="shared" si="4"/>
        <v>1.3048116083685544E-4</v>
      </c>
      <c r="M101" s="123"/>
      <c r="N101" s="123"/>
      <c r="O101" s="124"/>
      <c r="P101" s="124"/>
      <c r="Q101" s="125"/>
      <c r="U101" s="47">
        <v>1200</v>
      </c>
      <c r="V101" s="52">
        <v>9.2999999999999999E-2</v>
      </c>
      <c r="W101" s="52">
        <f t="shared" si="2"/>
        <v>2.7424137786507224E-5</v>
      </c>
      <c r="X101" s="122"/>
      <c r="Y101" s="122"/>
      <c r="Z101" s="108"/>
      <c r="AA101" s="108"/>
      <c r="AB101" s="108"/>
    </row>
    <row r="102" spans="8:28" ht="21" customHeight="1" x14ac:dyDescent="0.2">
      <c r="J102" s="87">
        <v>80</v>
      </c>
      <c r="K102" s="88">
        <v>0.39</v>
      </c>
      <c r="L102" s="88">
        <f t="shared" si="4"/>
        <v>1.1316065276116667E-4</v>
      </c>
      <c r="M102" s="123"/>
      <c r="N102" s="123"/>
      <c r="O102" s="124"/>
      <c r="P102" s="124"/>
      <c r="Q102" s="125"/>
      <c r="U102" s="47">
        <v>1220</v>
      </c>
      <c r="V102" s="52">
        <v>8.8999999999999996E-2</v>
      </c>
      <c r="W102" s="52">
        <f t="shared" si="2"/>
        <v>2.6269437248127972E-5</v>
      </c>
      <c r="X102" s="122"/>
      <c r="Y102" s="122"/>
      <c r="Z102" s="108"/>
      <c r="AA102" s="108"/>
      <c r="AB102" s="108"/>
    </row>
    <row r="103" spans="8:28" ht="21" customHeight="1" x14ac:dyDescent="0.2">
      <c r="J103" s="87">
        <v>100</v>
      </c>
      <c r="K103" s="88">
        <v>0.28999999999999998</v>
      </c>
      <c r="L103" s="89">
        <f t="shared" si="4"/>
        <v>8.4293139301685368E-5</v>
      </c>
      <c r="M103" s="123"/>
      <c r="N103" s="123"/>
      <c r="O103" s="124"/>
      <c r="P103" s="124"/>
      <c r="Q103" s="125"/>
      <c r="U103" s="47">
        <v>1240</v>
      </c>
      <c r="V103" s="52">
        <v>8.5999999999999993E-2</v>
      </c>
      <c r="W103" s="52">
        <f t="shared" si="2"/>
        <v>2.5403411844343531E-5</v>
      </c>
      <c r="X103" s="122"/>
      <c r="Y103" s="122"/>
      <c r="Z103" s="108"/>
      <c r="AA103" s="108"/>
      <c r="AB103" s="108"/>
    </row>
    <row r="104" spans="8:28" ht="21" customHeight="1" x14ac:dyDescent="0.2">
      <c r="J104" s="87">
        <v>120</v>
      </c>
      <c r="K104" s="89">
        <v>0.22</v>
      </c>
      <c r="L104" s="89">
        <f t="shared" si="4"/>
        <v>6.4085879880048467E-5</v>
      </c>
      <c r="M104" s="123"/>
      <c r="N104" s="123"/>
      <c r="O104" s="124"/>
      <c r="P104" s="124"/>
      <c r="Q104" s="125"/>
      <c r="U104" s="47">
        <v>1260</v>
      </c>
      <c r="V104" s="52">
        <v>8.1000000000000003E-2</v>
      </c>
      <c r="W104" s="52">
        <f t="shared" si="2"/>
        <v>2.3960036171369469E-5</v>
      </c>
      <c r="X104" s="122"/>
      <c r="Y104" s="122"/>
      <c r="Z104" s="108"/>
      <c r="AA104" s="108"/>
      <c r="AB104" s="108"/>
    </row>
    <row r="105" spans="8:28" ht="21" customHeight="1" x14ac:dyDescent="0.2">
      <c r="J105" s="87">
        <v>140</v>
      </c>
      <c r="K105" s="89">
        <v>0.17</v>
      </c>
      <c r="L105" s="89">
        <f t="shared" si="4"/>
        <v>4.9652123150307821E-5</v>
      </c>
      <c r="M105" s="123"/>
      <c r="N105" s="123"/>
      <c r="O105" s="124"/>
      <c r="P105" s="124"/>
      <c r="Q105" s="125"/>
      <c r="U105" s="47">
        <v>1280</v>
      </c>
      <c r="V105" s="52">
        <v>7.6999999999999999E-2</v>
      </c>
      <c r="W105" s="52">
        <f t="shared" si="2"/>
        <v>2.2805335632990218E-5</v>
      </c>
      <c r="X105" s="122"/>
      <c r="Y105" s="122"/>
      <c r="Z105" s="108"/>
      <c r="AA105" s="108"/>
      <c r="AB105" s="108"/>
    </row>
    <row r="106" spans="8:28" ht="21" customHeight="1" x14ac:dyDescent="0.2">
      <c r="J106" s="87">
        <v>160</v>
      </c>
      <c r="K106" s="89">
        <v>0.13</v>
      </c>
      <c r="L106" s="89">
        <f t="shared" si="4"/>
        <v>3.8105117766515305E-5</v>
      </c>
      <c r="M106" s="123"/>
      <c r="N106" s="123"/>
      <c r="O106" s="124"/>
      <c r="P106" s="124"/>
      <c r="Q106" s="125"/>
      <c r="U106" s="47">
        <v>1300</v>
      </c>
      <c r="V106" s="52">
        <v>7.2999999999999995E-2</v>
      </c>
      <c r="W106" s="52">
        <f t="shared" si="2"/>
        <v>2.1650635094610966E-5</v>
      </c>
      <c r="X106" s="122"/>
      <c r="Y106" s="122"/>
      <c r="Z106" s="108"/>
      <c r="AA106" s="108"/>
      <c r="AB106" s="108"/>
    </row>
    <row r="107" spans="8:28" ht="21" customHeight="1" x14ac:dyDescent="0.2">
      <c r="J107" s="87">
        <v>180</v>
      </c>
      <c r="K107" s="89">
        <v>0.09</v>
      </c>
      <c r="L107" s="89">
        <f t="shared" si="4"/>
        <v>2.6558112382722783E-5</v>
      </c>
      <c r="M107" s="123"/>
      <c r="N107" s="123"/>
      <c r="O107" s="124"/>
      <c r="P107" s="124"/>
      <c r="Q107" s="125"/>
      <c r="U107" s="47">
        <v>1320</v>
      </c>
      <c r="V107" s="52">
        <v>6.8000000000000005E-2</v>
      </c>
      <c r="W107" s="52">
        <f t="shared" ref="W107:W113" si="5">(0.0005*V107+0.0001*0.01)/SQRT(3)</f>
        <v>2.0207259421636904E-5</v>
      </c>
      <c r="X107" s="122"/>
      <c r="Y107" s="122"/>
      <c r="Z107" s="108"/>
      <c r="AA107" s="108"/>
      <c r="AB107" s="108"/>
    </row>
    <row r="108" spans="8:28" ht="21" customHeight="1" x14ac:dyDescent="0.2">
      <c r="J108" s="87">
        <v>200</v>
      </c>
      <c r="K108" s="89">
        <v>0.06</v>
      </c>
      <c r="L108" s="89">
        <f t="shared" si="4"/>
        <v>1.7897858344878401E-5</v>
      </c>
      <c r="M108" s="123"/>
      <c r="N108" s="123"/>
      <c r="O108" s="124"/>
      <c r="P108" s="124"/>
      <c r="Q108" s="125"/>
      <c r="U108" s="47">
        <v>1340</v>
      </c>
      <c r="V108" s="52">
        <v>6.4000000000000001E-2</v>
      </c>
      <c r="W108" s="52">
        <f t="shared" si="5"/>
        <v>1.9052558883257649E-5</v>
      </c>
      <c r="X108" s="122"/>
      <c r="Y108" s="122"/>
      <c r="Z108" s="108"/>
      <c r="AA108" s="108"/>
      <c r="AB108" s="108"/>
    </row>
    <row r="109" spans="8:28" ht="21" customHeight="1" x14ac:dyDescent="0.2">
      <c r="J109" s="87">
        <v>220</v>
      </c>
      <c r="K109" s="89">
        <v>0.04</v>
      </c>
      <c r="L109" s="89">
        <f t="shared" si="4"/>
        <v>1.2124355652982143E-5</v>
      </c>
      <c r="M109" s="123"/>
      <c r="N109" s="123"/>
      <c r="O109" s="124"/>
      <c r="P109" s="124"/>
      <c r="Q109" s="125"/>
      <c r="U109" s="47">
        <v>1360</v>
      </c>
      <c r="V109" s="52">
        <v>5.8000000000000003E-2</v>
      </c>
      <c r="W109" s="52">
        <f t="shared" si="5"/>
        <v>1.7320508075688777E-5</v>
      </c>
      <c r="X109" s="122"/>
      <c r="Y109" s="122"/>
      <c r="Z109" s="108"/>
      <c r="AA109" s="108"/>
      <c r="AB109" s="108"/>
    </row>
    <row r="110" spans="8:28" ht="21" customHeight="1" x14ac:dyDescent="0.2">
      <c r="J110" s="87">
        <v>240</v>
      </c>
      <c r="K110" s="89">
        <v>0.02</v>
      </c>
      <c r="L110" s="89">
        <f t="shared" si="4"/>
        <v>6.3508529610858845E-6</v>
      </c>
      <c r="M110" s="123"/>
      <c r="N110" s="123"/>
      <c r="O110" s="124"/>
      <c r="P110" s="124"/>
      <c r="Q110" s="125"/>
      <c r="U110" s="47">
        <v>1380</v>
      </c>
      <c r="V110" s="52">
        <v>5.1999999999999998E-2</v>
      </c>
      <c r="W110" s="52">
        <f t="shared" si="5"/>
        <v>1.5588457268119894E-5</v>
      </c>
      <c r="X110" s="122"/>
      <c r="Y110" s="122"/>
      <c r="Z110" s="108"/>
      <c r="AA110" s="108"/>
      <c r="AB110" s="108"/>
    </row>
    <row r="111" spans="8:28" ht="21" customHeight="1" x14ac:dyDescent="0.2">
      <c r="J111" s="87">
        <v>260</v>
      </c>
      <c r="K111" s="90">
        <v>0</v>
      </c>
      <c r="L111" s="90">
        <f t="shared" si="4"/>
        <v>5.7735026918962589E-7</v>
      </c>
      <c r="M111" s="123"/>
      <c r="N111" s="123"/>
      <c r="O111" s="124"/>
      <c r="P111" s="124"/>
      <c r="Q111" s="125"/>
      <c r="U111" s="47">
        <v>1400</v>
      </c>
      <c r="V111" s="52">
        <v>4.9000000000000002E-2</v>
      </c>
      <c r="W111" s="52">
        <f t="shared" si="5"/>
        <v>1.472243186433546E-5</v>
      </c>
      <c r="X111" s="122"/>
      <c r="Y111" s="122"/>
      <c r="Z111" s="108"/>
      <c r="AA111" s="108"/>
      <c r="AB111" s="108"/>
    </row>
    <row r="112" spans="8:28" ht="21" customHeight="1" x14ac:dyDescent="0.2">
      <c r="J112" s="87">
        <v>280</v>
      </c>
      <c r="K112" s="91">
        <v>-0.01</v>
      </c>
      <c r="L112" s="91">
        <f t="shared" si="4"/>
        <v>-2.3094010767585036E-6</v>
      </c>
      <c r="M112" s="123"/>
      <c r="N112" s="123"/>
      <c r="O112" s="124"/>
      <c r="P112" s="124"/>
      <c r="Q112" s="125"/>
      <c r="U112" s="47">
        <v>1420</v>
      </c>
      <c r="V112" s="52">
        <v>4.2999999999999997E-2</v>
      </c>
      <c r="W112" s="52">
        <f>(0.0005*V112+0.0001*0.01)/SQRT(3)</f>
        <v>1.2990381056766579E-5</v>
      </c>
      <c r="X112" s="122"/>
      <c r="Y112" s="122"/>
      <c r="Z112" s="108"/>
      <c r="AA112" s="108"/>
      <c r="AB112" s="108"/>
    </row>
    <row r="113" spans="10:28" ht="21" customHeight="1" x14ac:dyDescent="0.2">
      <c r="J113" s="87">
        <v>300</v>
      </c>
      <c r="K113" s="91">
        <v>-0.03</v>
      </c>
      <c r="L113" s="91">
        <f t="shared" si="4"/>
        <v>-8.082903768654761E-6</v>
      </c>
      <c r="M113" s="123"/>
      <c r="N113" s="123"/>
      <c r="O113" s="124"/>
      <c r="P113" s="124"/>
      <c r="Q113" s="125"/>
      <c r="U113" s="47">
        <v>1440</v>
      </c>
      <c r="V113" s="52">
        <v>3.6999999999999998E-2</v>
      </c>
      <c r="W113" s="52">
        <f t="shared" si="5"/>
        <v>1.1258330249197704E-5</v>
      </c>
      <c r="X113" s="122"/>
      <c r="Y113" s="122"/>
      <c r="Z113" s="108"/>
      <c r="AA113" s="108"/>
      <c r="AB113" s="108"/>
    </row>
    <row r="114" spans="10:28" ht="21" customHeight="1" x14ac:dyDescent="0.2">
      <c r="J114" s="87">
        <v>320</v>
      </c>
      <c r="K114" s="89">
        <v>-0.06</v>
      </c>
      <c r="L114" s="89">
        <f t="shared" si="4"/>
        <v>-1.6743157806499149E-5</v>
      </c>
      <c r="M114" s="123"/>
      <c r="N114" s="123"/>
      <c r="O114" s="124"/>
      <c r="P114" s="124"/>
      <c r="Q114" s="125"/>
      <c r="U114" s="47">
        <v>1460</v>
      </c>
      <c r="V114" s="52">
        <v>3.1E-2</v>
      </c>
      <c r="W114" s="52">
        <f>(0.0005*V114+0.0001*0.01)/SQRT(3)</f>
        <v>9.5262794416288263E-6</v>
      </c>
      <c r="X114" s="122"/>
      <c r="Y114" s="122"/>
      <c r="Z114" s="108"/>
      <c r="AA114" s="108"/>
      <c r="AB114" s="108"/>
    </row>
    <row r="115" spans="10:28" ht="21" customHeight="1" x14ac:dyDescent="0.2">
      <c r="J115" s="87">
        <v>340</v>
      </c>
      <c r="K115" s="89">
        <v>-0.06</v>
      </c>
      <c r="L115" s="89">
        <f t="shared" si="4"/>
        <v>-1.6743157806499149E-5</v>
      </c>
      <c r="M115" s="123"/>
      <c r="N115" s="123"/>
      <c r="O115" s="124"/>
      <c r="P115" s="124"/>
      <c r="Q115" s="125"/>
    </row>
    <row r="116" spans="10:28" ht="21" customHeight="1" x14ac:dyDescent="0.2">
      <c r="J116" s="87">
        <v>360</v>
      </c>
      <c r="K116" s="89">
        <v>-0.05</v>
      </c>
      <c r="L116" s="89">
        <f t="shared" si="4"/>
        <v>-1.3856406460551019E-5</v>
      </c>
      <c r="M116" s="123"/>
      <c r="N116" s="123"/>
      <c r="O116" s="124"/>
      <c r="P116" s="124"/>
      <c r="Q116" s="125"/>
    </row>
    <row r="117" spans="10:28" ht="21" customHeight="1" x14ac:dyDescent="0.2">
      <c r="J117" s="87">
        <v>380</v>
      </c>
      <c r="K117" s="91">
        <v>-0.02</v>
      </c>
      <c r="L117" s="91">
        <f t="shared" si="4"/>
        <v>-5.1961524227066321E-6</v>
      </c>
      <c r="M117" s="123"/>
      <c r="N117" s="123"/>
      <c r="O117" s="124"/>
      <c r="P117" s="124"/>
      <c r="Q117" s="125"/>
    </row>
    <row r="118" spans="10:28" ht="21" customHeight="1" x14ac:dyDescent="0.2">
      <c r="J118" s="87">
        <v>400</v>
      </c>
      <c r="K118" s="90">
        <v>0</v>
      </c>
      <c r="L118" s="90">
        <f t="shared" si="4"/>
        <v>5.7735026918962589E-7</v>
      </c>
      <c r="M118" s="123"/>
      <c r="N118" s="123"/>
      <c r="O118" s="124"/>
      <c r="P118" s="124"/>
      <c r="Q118" s="125"/>
    </row>
    <row r="119" spans="10:28" ht="21" customHeight="1" x14ac:dyDescent="0.2">
      <c r="J119" s="87">
        <v>420</v>
      </c>
      <c r="K119" s="91">
        <v>0.03</v>
      </c>
      <c r="L119" s="91">
        <f t="shared" si="4"/>
        <v>9.2376043070340125E-6</v>
      </c>
      <c r="M119" s="123"/>
      <c r="N119" s="123"/>
      <c r="O119" s="124"/>
      <c r="P119" s="124"/>
      <c r="Q119" s="125"/>
    </row>
    <row r="120" spans="10:28" ht="21" customHeight="1" x14ac:dyDescent="0.2">
      <c r="J120" s="87">
        <v>440</v>
      </c>
      <c r="K120" s="89">
        <v>0.06</v>
      </c>
      <c r="L120" s="89">
        <f t="shared" si="4"/>
        <v>1.7897858344878401E-5</v>
      </c>
      <c r="M120" s="123"/>
      <c r="N120" s="123"/>
      <c r="O120" s="124"/>
      <c r="P120" s="124"/>
      <c r="Q120" s="125"/>
    </row>
    <row r="121" spans="10:28" ht="21" customHeight="1" x14ac:dyDescent="0.2">
      <c r="J121" s="87">
        <v>460</v>
      </c>
      <c r="K121" s="89">
        <v>0.09</v>
      </c>
      <c r="L121" s="89">
        <f t="shared" si="4"/>
        <v>2.6558112382722783E-5</v>
      </c>
      <c r="M121" s="123"/>
      <c r="N121" s="123"/>
      <c r="O121" s="124"/>
      <c r="P121" s="124"/>
      <c r="Q121" s="125"/>
    </row>
    <row r="122" spans="10:28" ht="21" customHeight="1" x14ac:dyDescent="0.2">
      <c r="J122" s="87">
        <v>480</v>
      </c>
      <c r="K122" s="89">
        <v>0.11700000000000001</v>
      </c>
      <c r="L122" s="89">
        <f t="shared" si="4"/>
        <v>3.4352341016782737E-5</v>
      </c>
      <c r="M122" s="123"/>
      <c r="N122" s="123"/>
      <c r="O122" s="124"/>
      <c r="P122" s="124"/>
      <c r="Q122" s="125"/>
    </row>
    <row r="123" spans="10:28" ht="21" customHeight="1" x14ac:dyDescent="0.2">
      <c r="J123" s="87">
        <v>500</v>
      </c>
      <c r="K123" s="89">
        <v>0.121</v>
      </c>
      <c r="L123" s="89">
        <f t="shared" si="4"/>
        <v>3.5507041555161992E-5</v>
      </c>
      <c r="M123" s="123"/>
      <c r="N123" s="123"/>
      <c r="O123" s="124"/>
      <c r="P123" s="124"/>
      <c r="Q123" s="125"/>
    </row>
    <row r="124" spans="10:28" ht="21" customHeight="1" x14ac:dyDescent="0.2">
      <c r="J124" s="87">
        <v>520</v>
      </c>
      <c r="K124" s="89">
        <v>0.123</v>
      </c>
      <c r="L124" s="89">
        <f t="shared" si="4"/>
        <v>3.6084391824351612E-5</v>
      </c>
      <c r="M124" s="123"/>
      <c r="N124" s="123"/>
      <c r="O124" s="124"/>
      <c r="P124" s="124"/>
      <c r="Q124" s="125"/>
    </row>
    <row r="125" spans="10:28" ht="21" customHeight="1" x14ac:dyDescent="0.2">
      <c r="J125" s="87">
        <v>540</v>
      </c>
      <c r="K125" s="89">
        <v>0.125</v>
      </c>
      <c r="L125" s="89">
        <f t="shared" si="4"/>
        <v>3.666174209354124E-5</v>
      </c>
      <c r="M125" s="123"/>
      <c r="N125" s="123"/>
      <c r="O125" s="124"/>
      <c r="P125" s="124"/>
      <c r="Q125" s="125"/>
    </row>
    <row r="126" spans="10:28" ht="21" customHeight="1" x14ac:dyDescent="0.2">
      <c r="J126" s="87">
        <v>560</v>
      </c>
      <c r="K126" s="89">
        <v>0.128</v>
      </c>
      <c r="L126" s="89">
        <f t="shared" si="4"/>
        <v>3.7527767497325671E-5</v>
      </c>
      <c r="M126" s="123"/>
      <c r="N126" s="123"/>
      <c r="O126" s="124"/>
      <c r="P126" s="124"/>
      <c r="Q126" s="125"/>
    </row>
    <row r="127" spans="10:28" ht="21" customHeight="1" x14ac:dyDescent="0.2">
      <c r="J127" s="87">
        <v>580</v>
      </c>
      <c r="K127" s="89">
        <v>0.129</v>
      </c>
      <c r="L127" s="89">
        <f t="shared" si="4"/>
        <v>3.7816442631920495E-5</v>
      </c>
      <c r="M127" s="123"/>
      <c r="N127" s="123"/>
      <c r="O127" s="124"/>
      <c r="P127" s="124"/>
      <c r="Q127" s="125"/>
    </row>
    <row r="128" spans="10:28" ht="21" customHeight="1" x14ac:dyDescent="0.2">
      <c r="J128" s="87">
        <v>600</v>
      </c>
      <c r="K128" s="89">
        <v>0.129</v>
      </c>
      <c r="L128" s="89">
        <f t="shared" si="4"/>
        <v>3.7816442631920495E-5</v>
      </c>
      <c r="M128" s="123"/>
      <c r="N128" s="123"/>
      <c r="O128" s="124"/>
      <c r="P128" s="124"/>
      <c r="Q128" s="125"/>
    </row>
    <row r="129" spans="10:17" ht="21" customHeight="1" x14ac:dyDescent="0.2">
      <c r="J129" s="87">
        <v>620</v>
      </c>
      <c r="K129" s="89">
        <v>0.13</v>
      </c>
      <c r="L129" s="89">
        <f t="shared" si="4"/>
        <v>3.8105117766515305E-5</v>
      </c>
      <c r="M129" s="123"/>
      <c r="N129" s="123"/>
      <c r="O129" s="124"/>
      <c r="P129" s="124"/>
      <c r="Q129" s="125"/>
    </row>
    <row r="130" spans="10:17" ht="21" customHeight="1" x14ac:dyDescent="0.2">
      <c r="J130" s="87">
        <v>640</v>
      </c>
      <c r="K130" s="89">
        <v>0.13</v>
      </c>
      <c r="L130" s="89">
        <f t="shared" si="4"/>
        <v>3.8105117766515305E-5</v>
      </c>
      <c r="M130" s="123"/>
      <c r="N130" s="123"/>
      <c r="O130" s="124"/>
      <c r="P130" s="124"/>
      <c r="Q130" s="125"/>
    </row>
    <row r="131" spans="10:17" ht="21" customHeight="1" x14ac:dyDescent="0.2">
      <c r="J131" s="87">
        <v>660</v>
      </c>
      <c r="K131" s="89">
        <v>0.13</v>
      </c>
      <c r="L131" s="89">
        <f t="shared" si="4"/>
        <v>3.8105117766515305E-5</v>
      </c>
      <c r="M131" s="123"/>
      <c r="N131" s="123"/>
      <c r="O131" s="124"/>
      <c r="P131" s="124"/>
      <c r="Q131" s="125"/>
    </row>
    <row r="132" spans="10:17" ht="21" customHeight="1" x14ac:dyDescent="0.2">
      <c r="J132" s="87">
        <v>680</v>
      </c>
      <c r="K132" s="89">
        <v>0.13</v>
      </c>
      <c r="L132" s="89">
        <f t="shared" si="4"/>
        <v>3.8105117766515305E-5</v>
      </c>
      <c r="M132" s="123"/>
      <c r="N132" s="123"/>
      <c r="O132" s="124"/>
      <c r="P132" s="124"/>
      <c r="Q132" s="125"/>
    </row>
    <row r="133" spans="10:17" ht="21" customHeight="1" x14ac:dyDescent="0.2">
      <c r="J133" s="87">
        <v>700</v>
      </c>
      <c r="K133" s="89">
        <v>0.13</v>
      </c>
      <c r="L133" s="89">
        <f t="shared" si="4"/>
        <v>3.8105117766515305E-5</v>
      </c>
      <c r="M133" s="123"/>
      <c r="N133" s="123"/>
      <c r="O133" s="124"/>
      <c r="P133" s="124"/>
      <c r="Q133" s="125"/>
    </row>
    <row r="134" spans="10:17" ht="21" customHeight="1" x14ac:dyDescent="0.2">
      <c r="J134" s="87">
        <v>720</v>
      </c>
      <c r="K134" s="89">
        <v>0.13</v>
      </c>
      <c r="L134" s="89">
        <f t="shared" si="4"/>
        <v>3.8105117766515305E-5</v>
      </c>
      <c r="M134" s="123"/>
      <c r="N134" s="123"/>
      <c r="O134" s="124"/>
      <c r="P134" s="124"/>
      <c r="Q134" s="125"/>
    </row>
    <row r="135" spans="10:17" ht="21" customHeight="1" x14ac:dyDescent="0.2">
      <c r="J135" s="87">
        <v>740</v>
      </c>
      <c r="K135" s="89">
        <v>0.13</v>
      </c>
      <c r="L135" s="89">
        <f t="shared" si="4"/>
        <v>3.8105117766515305E-5</v>
      </c>
      <c r="M135" s="123"/>
      <c r="N135" s="123"/>
      <c r="O135" s="124"/>
      <c r="P135" s="124"/>
      <c r="Q135" s="125"/>
    </row>
    <row r="136" spans="10:17" ht="21" customHeight="1" x14ac:dyDescent="0.2">
      <c r="J136" s="87">
        <v>760</v>
      </c>
      <c r="K136" s="89">
        <v>0.13</v>
      </c>
      <c r="L136" s="89">
        <f t="shared" si="4"/>
        <v>3.8105117766515305E-5</v>
      </c>
      <c r="M136" s="123"/>
      <c r="N136" s="123"/>
      <c r="O136" s="124"/>
      <c r="P136" s="124"/>
      <c r="Q136" s="125"/>
    </row>
    <row r="137" spans="10:17" ht="21" customHeight="1" x14ac:dyDescent="0.2">
      <c r="J137" s="87">
        <v>780</v>
      </c>
      <c r="K137" s="89">
        <v>0.13</v>
      </c>
      <c r="L137" s="89">
        <f t="shared" si="4"/>
        <v>3.8105117766515305E-5</v>
      </c>
      <c r="M137" s="123"/>
      <c r="N137" s="123"/>
      <c r="O137" s="124"/>
      <c r="P137" s="124"/>
      <c r="Q137" s="125"/>
    </row>
    <row r="138" spans="10:17" ht="21" customHeight="1" x14ac:dyDescent="0.2">
      <c r="J138" s="87">
        <v>800</v>
      </c>
      <c r="K138" s="89">
        <v>0.13</v>
      </c>
      <c r="L138" s="89">
        <f t="shared" si="4"/>
        <v>3.8105117766515305E-5</v>
      </c>
      <c r="M138" s="123"/>
      <c r="N138" s="123"/>
      <c r="O138" s="124"/>
      <c r="P138" s="124"/>
      <c r="Q138" s="125"/>
    </row>
    <row r="139" spans="10:17" ht="21" customHeight="1" x14ac:dyDescent="0.2">
      <c r="J139" s="87">
        <v>820</v>
      </c>
      <c r="K139" s="89">
        <v>0.13</v>
      </c>
      <c r="L139" s="89">
        <f t="shared" si="4"/>
        <v>3.8105117766515305E-5</v>
      </c>
      <c r="M139" s="123"/>
      <c r="N139" s="123"/>
      <c r="O139" s="124"/>
      <c r="P139" s="124"/>
      <c r="Q139" s="125"/>
    </row>
    <row r="140" spans="10:17" ht="21" customHeight="1" x14ac:dyDescent="0.2">
      <c r="J140" s="87">
        <v>840</v>
      </c>
      <c r="K140" s="89">
        <v>0.13</v>
      </c>
      <c r="L140" s="89">
        <f t="shared" si="4"/>
        <v>3.8105117766515305E-5</v>
      </c>
      <c r="M140" s="123"/>
      <c r="N140" s="123"/>
      <c r="O140" s="124"/>
      <c r="P140" s="124"/>
      <c r="Q140" s="125"/>
    </row>
    <row r="141" spans="10:17" ht="21" customHeight="1" x14ac:dyDescent="0.2">
      <c r="J141" s="87">
        <v>860</v>
      </c>
      <c r="K141" s="89">
        <v>0.129</v>
      </c>
      <c r="L141" s="89">
        <f t="shared" si="4"/>
        <v>3.7816442631920495E-5</v>
      </c>
      <c r="M141" s="123"/>
      <c r="N141" s="123"/>
      <c r="O141" s="124"/>
      <c r="P141" s="124"/>
      <c r="Q141" s="125"/>
    </row>
    <row r="142" spans="10:17" ht="21" customHeight="1" x14ac:dyDescent="0.2">
      <c r="J142" s="87">
        <v>880</v>
      </c>
      <c r="K142" s="89">
        <v>0.128</v>
      </c>
      <c r="L142" s="89">
        <f t="shared" si="4"/>
        <v>3.7527767497325671E-5</v>
      </c>
      <c r="M142" s="123"/>
      <c r="N142" s="123"/>
      <c r="O142" s="124"/>
      <c r="P142" s="124"/>
      <c r="Q142" s="125"/>
    </row>
    <row r="143" spans="10:17" ht="21" customHeight="1" x14ac:dyDescent="0.2">
      <c r="J143" s="87">
        <v>900</v>
      </c>
      <c r="K143" s="89">
        <v>0.127</v>
      </c>
      <c r="L143" s="89">
        <f t="shared" si="4"/>
        <v>3.723909236273086E-5</v>
      </c>
      <c r="M143" s="123"/>
      <c r="N143" s="123"/>
      <c r="O143" s="124"/>
      <c r="P143" s="124"/>
      <c r="Q143" s="125"/>
    </row>
    <row r="144" spans="10:17" ht="21" customHeight="1" x14ac:dyDescent="0.2">
      <c r="J144" s="87">
        <v>920</v>
      </c>
      <c r="K144" s="89">
        <v>0.126</v>
      </c>
      <c r="L144" s="89">
        <f t="shared" si="4"/>
        <v>3.695041722813605E-5</v>
      </c>
      <c r="M144" s="123"/>
      <c r="N144" s="123"/>
      <c r="O144" s="124"/>
      <c r="P144" s="124"/>
      <c r="Q144" s="125"/>
    </row>
    <row r="145" spans="10:17" ht="21" customHeight="1" x14ac:dyDescent="0.2">
      <c r="J145" s="87">
        <v>940</v>
      </c>
      <c r="K145" s="89">
        <v>0.126</v>
      </c>
      <c r="L145" s="89">
        <f t="shared" si="4"/>
        <v>3.695041722813605E-5</v>
      </c>
      <c r="M145" s="123"/>
      <c r="N145" s="123"/>
      <c r="O145" s="124"/>
      <c r="P145" s="124"/>
      <c r="Q145" s="125"/>
    </row>
    <row r="146" spans="10:17" ht="21" customHeight="1" x14ac:dyDescent="0.2">
      <c r="J146" s="87">
        <v>960</v>
      </c>
      <c r="K146" s="89">
        <v>0.125</v>
      </c>
      <c r="L146" s="89">
        <f t="shared" si="4"/>
        <v>3.666174209354124E-5</v>
      </c>
      <c r="M146" s="123"/>
      <c r="N146" s="123"/>
      <c r="O146" s="124"/>
      <c r="P146" s="124"/>
      <c r="Q146" s="125"/>
    </row>
    <row r="147" spans="10:17" ht="21" customHeight="1" x14ac:dyDescent="0.2">
      <c r="J147" s="87">
        <v>980</v>
      </c>
      <c r="K147" s="89">
        <v>0.124</v>
      </c>
      <c r="L147" s="89">
        <f t="shared" si="4"/>
        <v>3.6373066958946423E-5</v>
      </c>
      <c r="M147" s="123"/>
      <c r="N147" s="123"/>
      <c r="O147" s="124"/>
      <c r="P147" s="124"/>
      <c r="Q147" s="125"/>
    </row>
    <row r="148" spans="10:17" ht="21" customHeight="1" x14ac:dyDescent="0.2">
      <c r="J148" s="87">
        <v>1000</v>
      </c>
      <c r="K148" s="89">
        <v>0.123</v>
      </c>
      <c r="L148" s="89">
        <f t="shared" si="4"/>
        <v>3.6084391824351612E-5</v>
      </c>
      <c r="M148" s="123"/>
      <c r="N148" s="123"/>
      <c r="O148" s="124"/>
      <c r="P148" s="124"/>
      <c r="Q148" s="125"/>
    </row>
    <row r="149" spans="10:17" ht="21" customHeight="1" x14ac:dyDescent="0.2">
      <c r="J149" s="87">
        <v>1020</v>
      </c>
      <c r="K149" s="89">
        <v>0.122</v>
      </c>
      <c r="L149" s="89">
        <f t="shared" si="4"/>
        <v>3.5795716689756802E-5</v>
      </c>
      <c r="M149" s="123"/>
      <c r="N149" s="123"/>
      <c r="O149" s="124"/>
      <c r="P149" s="124"/>
      <c r="Q149" s="125"/>
    </row>
    <row r="150" spans="10:17" ht="21" customHeight="1" x14ac:dyDescent="0.2">
      <c r="J150" s="87">
        <v>1040</v>
      </c>
      <c r="K150" s="89">
        <v>0.121</v>
      </c>
      <c r="L150" s="89">
        <f t="shared" si="4"/>
        <v>3.5507041555161992E-5</v>
      </c>
      <c r="M150" s="123"/>
      <c r="N150" s="123"/>
      <c r="O150" s="124"/>
      <c r="P150" s="124"/>
      <c r="Q150" s="125"/>
    </row>
    <row r="151" spans="10:17" ht="21" customHeight="1" x14ac:dyDescent="0.2">
      <c r="J151" s="87">
        <v>1060</v>
      </c>
      <c r="K151" s="89">
        <v>0.11899999999999999</v>
      </c>
      <c r="L151" s="89">
        <f t="shared" si="4"/>
        <v>3.4929691285972357E-5</v>
      </c>
      <c r="M151" s="123"/>
      <c r="N151" s="123"/>
      <c r="O151" s="124"/>
      <c r="P151" s="124"/>
      <c r="Q151" s="125"/>
    </row>
    <row r="152" spans="10:17" ht="21" customHeight="1" x14ac:dyDescent="0.2">
      <c r="J152" s="87">
        <v>1080</v>
      </c>
      <c r="K152" s="89">
        <v>0.11700000000000001</v>
      </c>
      <c r="L152" s="89">
        <f t="shared" si="4"/>
        <v>3.4352341016782737E-5</v>
      </c>
      <c r="M152" s="123"/>
      <c r="N152" s="123"/>
      <c r="O152" s="124"/>
      <c r="P152" s="124"/>
      <c r="Q152" s="125"/>
    </row>
    <row r="153" spans="10:17" ht="21" customHeight="1" x14ac:dyDescent="0.2">
      <c r="J153" s="87">
        <v>1100</v>
      </c>
      <c r="K153" s="89">
        <v>0.115</v>
      </c>
      <c r="L153" s="89">
        <f t="shared" si="4"/>
        <v>3.3774990747593109E-5</v>
      </c>
      <c r="M153" s="123"/>
      <c r="N153" s="123"/>
      <c r="O153" s="124"/>
      <c r="P153" s="124"/>
      <c r="Q153" s="125"/>
    </row>
    <row r="154" spans="10:17" ht="21" customHeight="1" x14ac:dyDescent="0.2">
      <c r="J154" s="87">
        <v>1120</v>
      </c>
      <c r="K154" s="89">
        <v>0.11</v>
      </c>
      <c r="L154" s="89">
        <f t="shared" si="4"/>
        <v>3.2331615074619044E-5</v>
      </c>
      <c r="M154" s="123"/>
      <c r="N154" s="123"/>
      <c r="O154" s="124"/>
      <c r="P154" s="124"/>
      <c r="Q154" s="125"/>
    </row>
    <row r="155" spans="10:17" ht="21" customHeight="1" x14ac:dyDescent="0.2">
      <c r="J155" s="87">
        <v>1140</v>
      </c>
      <c r="K155" s="89">
        <v>0.106</v>
      </c>
      <c r="L155" s="89">
        <f t="shared" si="4"/>
        <v>3.1176914536239789E-5</v>
      </c>
      <c r="M155" s="123"/>
      <c r="N155" s="123"/>
      <c r="O155" s="124"/>
      <c r="P155" s="124"/>
      <c r="Q155" s="125"/>
    </row>
    <row r="156" spans="10:17" ht="21" customHeight="1" x14ac:dyDescent="0.2">
      <c r="J156" s="87">
        <v>1160</v>
      </c>
      <c r="K156" s="89">
        <v>0.10199999999999999</v>
      </c>
      <c r="L156" s="89">
        <f t="shared" si="4"/>
        <v>3.0022213997860541E-5</v>
      </c>
      <c r="M156" s="123"/>
      <c r="N156" s="123"/>
      <c r="O156" s="124"/>
      <c r="P156" s="124"/>
      <c r="Q156" s="125"/>
    </row>
    <row r="157" spans="10:17" ht="21" customHeight="1" x14ac:dyDescent="0.2">
      <c r="J157" s="87">
        <v>1180</v>
      </c>
      <c r="K157" s="89">
        <v>9.8000000000000004E-2</v>
      </c>
      <c r="L157" s="89">
        <f t="shared" si="4"/>
        <v>2.8867513459481293E-5</v>
      </c>
      <c r="M157" s="123"/>
      <c r="N157" s="123"/>
      <c r="O157" s="124"/>
      <c r="P157" s="124"/>
      <c r="Q157" s="125"/>
    </row>
    <row r="158" spans="10:17" ht="21" customHeight="1" x14ac:dyDescent="0.2">
      <c r="J158" s="87">
        <v>1200</v>
      </c>
      <c r="K158" s="89">
        <v>9.2999999999999999E-2</v>
      </c>
      <c r="L158" s="89">
        <f t="shared" si="4"/>
        <v>2.7424137786507224E-5</v>
      </c>
      <c r="M158" s="123"/>
      <c r="N158" s="123"/>
      <c r="O158" s="124"/>
      <c r="P158" s="124"/>
      <c r="Q158" s="125"/>
    </row>
    <row r="159" spans="10:17" ht="21" customHeight="1" x14ac:dyDescent="0.2">
      <c r="J159" s="87">
        <v>1220</v>
      </c>
      <c r="K159" s="89">
        <v>8.8999999999999996E-2</v>
      </c>
      <c r="L159" s="89">
        <f t="shared" si="4"/>
        <v>2.6269437248127972E-5</v>
      </c>
      <c r="M159" s="123"/>
      <c r="N159" s="123"/>
      <c r="O159" s="124"/>
      <c r="P159" s="124"/>
      <c r="Q159" s="125"/>
    </row>
    <row r="160" spans="10:17" ht="21" customHeight="1" x14ac:dyDescent="0.2">
      <c r="J160" s="87">
        <v>1240</v>
      </c>
      <c r="K160" s="89">
        <v>8.5999999999999993E-2</v>
      </c>
      <c r="L160" s="89">
        <f t="shared" si="4"/>
        <v>2.5403411844343531E-5</v>
      </c>
      <c r="M160" s="123"/>
      <c r="N160" s="123"/>
      <c r="O160" s="124"/>
      <c r="P160" s="124"/>
      <c r="Q160" s="125"/>
    </row>
    <row r="161" spans="9:17" ht="21" customHeight="1" x14ac:dyDescent="0.2">
      <c r="J161" s="87">
        <v>1260</v>
      </c>
      <c r="K161" s="89">
        <v>8.1000000000000003E-2</v>
      </c>
      <c r="L161" s="89">
        <f t="shared" si="4"/>
        <v>2.3960036171369469E-5</v>
      </c>
      <c r="M161" s="123"/>
      <c r="N161" s="123"/>
      <c r="O161" s="124"/>
      <c r="P161" s="124"/>
      <c r="Q161" s="125"/>
    </row>
    <row r="162" spans="9:17" ht="21" customHeight="1" x14ac:dyDescent="0.2">
      <c r="J162" s="87">
        <v>1280</v>
      </c>
      <c r="K162" s="89">
        <v>7.6999999999999999E-2</v>
      </c>
      <c r="L162" s="89">
        <f t="shared" si="4"/>
        <v>2.2805335632990218E-5</v>
      </c>
      <c r="M162" s="123"/>
      <c r="N162" s="123"/>
      <c r="O162" s="124"/>
      <c r="P162" s="124"/>
      <c r="Q162" s="125"/>
    </row>
    <row r="163" spans="9:17" ht="21" customHeight="1" x14ac:dyDescent="0.2">
      <c r="J163" s="87">
        <v>1300</v>
      </c>
      <c r="K163" s="89">
        <v>7.2999999999999995E-2</v>
      </c>
      <c r="L163" s="89">
        <f t="shared" si="4"/>
        <v>2.1650635094610966E-5</v>
      </c>
      <c r="M163" s="123"/>
      <c r="N163" s="123"/>
      <c r="O163" s="124"/>
      <c r="P163" s="124"/>
      <c r="Q163" s="125"/>
    </row>
    <row r="164" spans="9:17" ht="21" customHeight="1" x14ac:dyDescent="0.2">
      <c r="J164" s="87">
        <v>1320</v>
      </c>
      <c r="K164" s="89">
        <v>6.8000000000000005E-2</v>
      </c>
      <c r="L164" s="89">
        <f t="shared" ref="L164:L171" si="6">(0.0005*K164+0.0001*0.01)/SQRT(3)</f>
        <v>2.0207259421636904E-5</v>
      </c>
      <c r="M164" s="123"/>
      <c r="N164" s="123"/>
      <c r="O164" s="124"/>
      <c r="P164" s="124"/>
      <c r="Q164" s="125"/>
    </row>
    <row r="165" spans="9:17" ht="21" customHeight="1" x14ac:dyDescent="0.2">
      <c r="J165" s="87">
        <v>1340</v>
      </c>
      <c r="K165" s="89">
        <v>6.4000000000000001E-2</v>
      </c>
      <c r="L165" s="89">
        <f t="shared" si="6"/>
        <v>1.9052558883257649E-5</v>
      </c>
      <c r="M165" s="123"/>
      <c r="N165" s="123"/>
      <c r="O165" s="124"/>
      <c r="P165" s="124"/>
      <c r="Q165" s="125"/>
    </row>
    <row r="166" spans="9:17" ht="21" customHeight="1" x14ac:dyDescent="0.2">
      <c r="J166" s="87">
        <v>1360</v>
      </c>
      <c r="K166" s="89">
        <v>5.8000000000000003E-2</v>
      </c>
      <c r="L166" s="89">
        <f t="shared" si="6"/>
        <v>1.7320508075688777E-5</v>
      </c>
      <c r="M166" s="123"/>
      <c r="N166" s="123"/>
      <c r="O166" s="124"/>
      <c r="P166" s="124"/>
      <c r="Q166" s="125"/>
    </row>
    <row r="167" spans="9:17" ht="21" customHeight="1" x14ac:dyDescent="0.2">
      <c r="J167" s="87">
        <v>1380</v>
      </c>
      <c r="K167" s="89">
        <v>5.1999999999999998E-2</v>
      </c>
      <c r="L167" s="89">
        <f t="shared" si="6"/>
        <v>1.5588457268119894E-5</v>
      </c>
      <c r="M167" s="123"/>
      <c r="N167" s="123"/>
      <c r="O167" s="124"/>
      <c r="P167" s="124"/>
      <c r="Q167" s="125"/>
    </row>
    <row r="168" spans="9:17" ht="21" customHeight="1" x14ac:dyDescent="0.2">
      <c r="J168" s="87">
        <v>1400</v>
      </c>
      <c r="K168" s="89">
        <v>4.9000000000000002E-2</v>
      </c>
      <c r="L168" s="89">
        <f t="shared" si="6"/>
        <v>1.472243186433546E-5</v>
      </c>
      <c r="M168" s="123"/>
      <c r="N168" s="123"/>
      <c r="O168" s="124"/>
      <c r="P168" s="124"/>
      <c r="Q168" s="125"/>
    </row>
    <row r="169" spans="9:17" ht="21" customHeight="1" x14ac:dyDescent="0.2">
      <c r="J169" s="87">
        <v>1420</v>
      </c>
      <c r="K169" s="89">
        <v>4.2999999999999997E-2</v>
      </c>
      <c r="L169" s="89">
        <f t="shared" si="6"/>
        <v>1.2990381056766579E-5</v>
      </c>
      <c r="M169" s="123"/>
      <c r="N169" s="123"/>
      <c r="O169" s="124"/>
      <c r="P169" s="124"/>
      <c r="Q169" s="125"/>
    </row>
    <row r="170" spans="9:17" ht="21" customHeight="1" x14ac:dyDescent="0.2">
      <c r="J170" s="87">
        <v>1440</v>
      </c>
      <c r="K170" s="89">
        <v>3.6999999999999998E-2</v>
      </c>
      <c r="L170" s="89">
        <f t="shared" si="6"/>
        <v>1.1258330249197704E-5</v>
      </c>
      <c r="M170" s="123"/>
      <c r="N170" s="123"/>
      <c r="O170" s="124"/>
      <c r="P170" s="124"/>
      <c r="Q170" s="125"/>
    </row>
    <row r="171" spans="9:17" ht="21" customHeight="1" x14ac:dyDescent="0.2">
      <c r="I171" s="86"/>
      <c r="J171" s="87">
        <v>1460</v>
      </c>
      <c r="K171" s="89">
        <v>3.1E-2</v>
      </c>
      <c r="L171" s="89">
        <f t="shared" si="6"/>
        <v>9.5262794416288263E-6</v>
      </c>
      <c r="M171" s="123"/>
      <c r="N171" s="123"/>
      <c r="O171" s="124"/>
      <c r="P171" s="124"/>
      <c r="Q171" s="125"/>
    </row>
  </sheetData>
  <mergeCells count="22">
    <mergeCell ref="Q99:Q171"/>
    <mergeCell ref="C23:D23"/>
    <mergeCell ref="N42:N56"/>
    <mergeCell ref="O42:O56"/>
    <mergeCell ref="P42:P56"/>
    <mergeCell ref="Q42:Q56"/>
    <mergeCell ref="AB42:AB114"/>
    <mergeCell ref="L60:L75"/>
    <mergeCell ref="M60:M75"/>
    <mergeCell ref="N60:N75"/>
    <mergeCell ref="O60:O75"/>
    <mergeCell ref="P60:P75"/>
    <mergeCell ref="Q60:Q75"/>
    <mergeCell ref="R42:R56"/>
    <mergeCell ref="X42:X114"/>
    <mergeCell ref="Y42:Y114"/>
    <mergeCell ref="Z42:Z114"/>
    <mergeCell ref="AA42:AA114"/>
    <mergeCell ref="M99:M171"/>
    <mergeCell ref="N99:N171"/>
    <mergeCell ref="O99:O171"/>
    <mergeCell ref="P99:P17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C380-3603-40EB-9E28-86B89A966A87}">
  <dimension ref="A1:H75"/>
  <sheetViews>
    <sheetView workbookViewId="0">
      <selection sqref="A1:H75"/>
    </sheetView>
  </sheetViews>
  <sheetFormatPr baseColWidth="10" defaultColWidth="8.83203125" defaultRowHeight="16" x14ac:dyDescent="0.2"/>
  <cols>
    <col min="2" max="3" width="13" bestFit="1" customWidth="1"/>
    <col min="4" max="5" width="9.1640625" bestFit="1" customWidth="1"/>
    <col min="6" max="6" width="6.6640625" bestFit="1" customWidth="1"/>
    <col min="7" max="8" width="8.6640625" bestFit="1" customWidth="1"/>
  </cols>
  <sheetData>
    <row r="1" spans="1:8" ht="101" thickBot="1" x14ac:dyDescent="0.25">
      <c r="A1" s="61" t="s">
        <v>30</v>
      </c>
      <c r="B1" s="61" t="s">
        <v>31</v>
      </c>
      <c r="C1" s="61" t="s">
        <v>32</v>
      </c>
      <c r="D1" s="61" t="s">
        <v>101</v>
      </c>
      <c r="E1" s="61" t="s">
        <v>102</v>
      </c>
      <c r="F1" s="61" t="s">
        <v>103</v>
      </c>
      <c r="G1" s="61" t="s">
        <v>104</v>
      </c>
      <c r="H1" s="61" t="s">
        <v>105</v>
      </c>
    </row>
    <row r="2" spans="1:8" ht="25" x14ac:dyDescent="0.2">
      <c r="A2" s="92" t="s">
        <v>33</v>
      </c>
      <c r="B2" s="92" t="s">
        <v>34</v>
      </c>
      <c r="C2" s="92" t="s">
        <v>34</v>
      </c>
      <c r="D2" s="92" t="s">
        <v>34</v>
      </c>
      <c r="E2" s="92" t="s">
        <v>34</v>
      </c>
      <c r="F2" s="92" t="s">
        <v>35</v>
      </c>
      <c r="G2" s="92" t="s">
        <v>35</v>
      </c>
      <c r="H2" s="92" t="s">
        <v>36</v>
      </c>
    </row>
    <row r="3" spans="1:8" ht="19" x14ac:dyDescent="0.2">
      <c r="A3" s="87">
        <v>20</v>
      </c>
      <c r="B3" s="88">
        <v>0.55000000000000004</v>
      </c>
      <c r="C3" s="88">
        <f>(0.0005*B3+0.0001*0.01)/SQRT(3)</f>
        <v>1.5934867429633675E-4</v>
      </c>
      <c r="D3" s="123">
        <v>0.12968749999999998</v>
      </c>
      <c r="E3" s="123">
        <v>1.551977233509995E-4</v>
      </c>
      <c r="F3" s="124">
        <v>2.74990535554657</v>
      </c>
      <c r="G3" s="124">
        <v>5.5331316101216617E-2</v>
      </c>
      <c r="H3" s="125">
        <v>2.02</v>
      </c>
    </row>
    <row r="4" spans="1:8" ht="19" x14ac:dyDescent="0.2">
      <c r="A4" s="87">
        <v>40</v>
      </c>
      <c r="B4" s="88">
        <v>0.5</v>
      </c>
      <c r="C4" s="88">
        <f t="shared" ref="C4:C67" si="0">(0.0005*B4+0.0001*0.01)/SQRT(3)</f>
        <v>1.4491491756659608E-4</v>
      </c>
      <c r="D4" s="123"/>
      <c r="E4" s="123"/>
      <c r="F4" s="124"/>
      <c r="G4" s="124"/>
      <c r="H4" s="125"/>
    </row>
    <row r="5" spans="1:8" ht="19" x14ac:dyDescent="0.2">
      <c r="A5" s="87">
        <v>60</v>
      </c>
      <c r="B5" s="88">
        <v>0.45</v>
      </c>
      <c r="C5" s="88">
        <f t="shared" si="0"/>
        <v>1.3048116083685544E-4</v>
      </c>
      <c r="D5" s="123"/>
      <c r="E5" s="123"/>
      <c r="F5" s="124"/>
      <c r="G5" s="124"/>
      <c r="H5" s="125"/>
    </row>
    <row r="6" spans="1:8" ht="19" x14ac:dyDescent="0.2">
      <c r="A6" s="87">
        <v>80</v>
      </c>
      <c r="B6" s="88">
        <v>0.39</v>
      </c>
      <c r="C6" s="88">
        <f t="shared" si="0"/>
        <v>1.1316065276116667E-4</v>
      </c>
      <c r="D6" s="123"/>
      <c r="E6" s="123"/>
      <c r="F6" s="124"/>
      <c r="G6" s="124"/>
      <c r="H6" s="125"/>
    </row>
    <row r="7" spans="1:8" ht="19" x14ac:dyDescent="0.2">
      <c r="A7" s="87">
        <v>100</v>
      </c>
      <c r="B7" s="88">
        <v>0.28999999999999998</v>
      </c>
      <c r="C7" s="89">
        <f t="shared" si="0"/>
        <v>8.4293139301685368E-5</v>
      </c>
      <c r="D7" s="123"/>
      <c r="E7" s="123"/>
      <c r="F7" s="124"/>
      <c r="G7" s="124"/>
      <c r="H7" s="125"/>
    </row>
    <row r="8" spans="1:8" ht="19" x14ac:dyDescent="0.2">
      <c r="A8" s="87">
        <v>120</v>
      </c>
      <c r="B8" s="89">
        <v>0.22</v>
      </c>
      <c r="C8" s="89">
        <f t="shared" si="0"/>
        <v>6.4085879880048467E-5</v>
      </c>
      <c r="D8" s="123"/>
      <c r="E8" s="123"/>
      <c r="F8" s="124"/>
      <c r="G8" s="124"/>
      <c r="H8" s="125"/>
    </row>
    <row r="9" spans="1:8" ht="19" x14ac:dyDescent="0.2">
      <c r="A9" s="87">
        <v>140</v>
      </c>
      <c r="B9" s="89">
        <v>0.17</v>
      </c>
      <c r="C9" s="89">
        <f t="shared" si="0"/>
        <v>4.9652123150307821E-5</v>
      </c>
      <c r="D9" s="123"/>
      <c r="E9" s="123"/>
      <c r="F9" s="124"/>
      <c r="G9" s="124"/>
      <c r="H9" s="125"/>
    </row>
    <row r="10" spans="1:8" ht="19" x14ac:dyDescent="0.2">
      <c r="A10" s="87">
        <v>160</v>
      </c>
      <c r="B10" s="89">
        <v>0.13</v>
      </c>
      <c r="C10" s="89">
        <f t="shared" si="0"/>
        <v>3.8105117766515305E-5</v>
      </c>
      <c r="D10" s="123"/>
      <c r="E10" s="123"/>
      <c r="F10" s="124"/>
      <c r="G10" s="124"/>
      <c r="H10" s="125"/>
    </row>
    <row r="11" spans="1:8" ht="19" x14ac:dyDescent="0.2">
      <c r="A11" s="87">
        <v>180</v>
      </c>
      <c r="B11" s="89">
        <v>0.09</v>
      </c>
      <c r="C11" s="89">
        <f t="shared" si="0"/>
        <v>2.6558112382722783E-5</v>
      </c>
      <c r="D11" s="123"/>
      <c r="E11" s="123"/>
      <c r="F11" s="124"/>
      <c r="G11" s="124"/>
      <c r="H11" s="125"/>
    </row>
    <row r="12" spans="1:8" ht="19" x14ac:dyDescent="0.2">
      <c r="A12" s="87">
        <v>200</v>
      </c>
      <c r="B12" s="89">
        <v>0.06</v>
      </c>
      <c r="C12" s="89">
        <f t="shared" si="0"/>
        <v>1.7897858344878401E-5</v>
      </c>
      <c r="D12" s="123"/>
      <c r="E12" s="123"/>
      <c r="F12" s="124"/>
      <c r="G12" s="124"/>
      <c r="H12" s="125"/>
    </row>
    <row r="13" spans="1:8" ht="19" x14ac:dyDescent="0.2">
      <c r="A13" s="87">
        <v>220</v>
      </c>
      <c r="B13" s="89">
        <v>0.04</v>
      </c>
      <c r="C13" s="89">
        <f t="shared" si="0"/>
        <v>1.2124355652982143E-5</v>
      </c>
      <c r="D13" s="123"/>
      <c r="E13" s="123"/>
      <c r="F13" s="124"/>
      <c r="G13" s="124"/>
      <c r="H13" s="125"/>
    </row>
    <row r="14" spans="1:8" ht="19" x14ac:dyDescent="0.2">
      <c r="A14" s="87">
        <v>240</v>
      </c>
      <c r="B14" s="89">
        <v>0.02</v>
      </c>
      <c r="C14" s="89">
        <f t="shared" si="0"/>
        <v>6.3508529610858845E-6</v>
      </c>
      <c r="D14" s="123"/>
      <c r="E14" s="123"/>
      <c r="F14" s="124"/>
      <c r="G14" s="124"/>
      <c r="H14" s="125"/>
    </row>
    <row r="15" spans="1:8" ht="19" x14ac:dyDescent="0.2">
      <c r="A15" s="87">
        <v>260</v>
      </c>
      <c r="B15" s="90">
        <v>0</v>
      </c>
      <c r="C15" s="90">
        <f t="shared" si="0"/>
        <v>5.7735026918962589E-7</v>
      </c>
      <c r="D15" s="123"/>
      <c r="E15" s="123"/>
      <c r="F15" s="124"/>
      <c r="G15" s="124"/>
      <c r="H15" s="125"/>
    </row>
    <row r="16" spans="1:8" ht="19" x14ac:dyDescent="0.2">
      <c r="A16" s="87">
        <v>280</v>
      </c>
      <c r="B16" s="91">
        <v>-0.01</v>
      </c>
      <c r="C16" s="91">
        <f t="shared" si="0"/>
        <v>-2.3094010767585036E-6</v>
      </c>
      <c r="D16" s="123"/>
      <c r="E16" s="123"/>
      <c r="F16" s="124"/>
      <c r="G16" s="124"/>
      <c r="H16" s="125"/>
    </row>
    <row r="17" spans="1:8" ht="19" x14ac:dyDescent="0.2">
      <c r="A17" s="87">
        <v>300</v>
      </c>
      <c r="B17" s="91">
        <v>-0.03</v>
      </c>
      <c r="C17" s="91">
        <f t="shared" si="0"/>
        <v>-8.082903768654761E-6</v>
      </c>
      <c r="D17" s="123"/>
      <c r="E17" s="123"/>
      <c r="F17" s="124"/>
      <c r="G17" s="124"/>
      <c r="H17" s="125"/>
    </row>
    <row r="18" spans="1:8" ht="19" x14ac:dyDescent="0.2">
      <c r="A18" s="87">
        <v>320</v>
      </c>
      <c r="B18" s="89">
        <v>-0.06</v>
      </c>
      <c r="C18" s="89">
        <f t="shared" si="0"/>
        <v>-1.6743157806499149E-5</v>
      </c>
      <c r="D18" s="123"/>
      <c r="E18" s="123"/>
      <c r="F18" s="124"/>
      <c r="G18" s="124"/>
      <c r="H18" s="125"/>
    </row>
    <row r="19" spans="1:8" ht="19" x14ac:dyDescent="0.2">
      <c r="A19" s="87">
        <v>340</v>
      </c>
      <c r="B19" s="89">
        <v>-0.06</v>
      </c>
      <c r="C19" s="89">
        <f t="shared" si="0"/>
        <v>-1.6743157806499149E-5</v>
      </c>
      <c r="D19" s="123"/>
      <c r="E19" s="123"/>
      <c r="F19" s="124"/>
      <c r="G19" s="124"/>
      <c r="H19" s="125"/>
    </row>
    <row r="20" spans="1:8" ht="19" x14ac:dyDescent="0.2">
      <c r="A20" s="87">
        <v>360</v>
      </c>
      <c r="B20" s="89">
        <v>-0.05</v>
      </c>
      <c r="C20" s="89">
        <f t="shared" si="0"/>
        <v>-1.3856406460551019E-5</v>
      </c>
      <c r="D20" s="123"/>
      <c r="E20" s="123"/>
      <c r="F20" s="124"/>
      <c r="G20" s="124"/>
      <c r="H20" s="125"/>
    </row>
    <row r="21" spans="1:8" ht="19" x14ac:dyDescent="0.2">
      <c r="A21" s="87">
        <v>380</v>
      </c>
      <c r="B21" s="91">
        <v>-0.02</v>
      </c>
      <c r="C21" s="91">
        <f t="shared" si="0"/>
        <v>-5.1961524227066321E-6</v>
      </c>
      <c r="D21" s="123"/>
      <c r="E21" s="123"/>
      <c r="F21" s="124"/>
      <c r="G21" s="124"/>
      <c r="H21" s="125"/>
    </row>
    <row r="22" spans="1:8" ht="19" x14ac:dyDescent="0.2">
      <c r="A22" s="87">
        <v>400</v>
      </c>
      <c r="B22" s="90">
        <v>0</v>
      </c>
      <c r="C22" s="90">
        <f t="shared" si="0"/>
        <v>5.7735026918962589E-7</v>
      </c>
      <c r="D22" s="123"/>
      <c r="E22" s="123"/>
      <c r="F22" s="124"/>
      <c r="G22" s="124"/>
      <c r="H22" s="125"/>
    </row>
    <row r="23" spans="1:8" ht="19" x14ac:dyDescent="0.2">
      <c r="A23" s="87">
        <v>420</v>
      </c>
      <c r="B23" s="91">
        <v>0.03</v>
      </c>
      <c r="C23" s="91">
        <f t="shared" si="0"/>
        <v>9.2376043070340125E-6</v>
      </c>
      <c r="D23" s="123"/>
      <c r="E23" s="123"/>
      <c r="F23" s="124"/>
      <c r="G23" s="124"/>
      <c r="H23" s="125"/>
    </row>
    <row r="24" spans="1:8" ht="19" x14ac:dyDescent="0.2">
      <c r="A24" s="87">
        <v>440</v>
      </c>
      <c r="B24" s="89">
        <v>0.06</v>
      </c>
      <c r="C24" s="89">
        <f t="shared" si="0"/>
        <v>1.7897858344878401E-5</v>
      </c>
      <c r="D24" s="123"/>
      <c r="E24" s="123"/>
      <c r="F24" s="124"/>
      <c r="G24" s="124"/>
      <c r="H24" s="125"/>
    </row>
    <row r="25" spans="1:8" ht="19" x14ac:dyDescent="0.2">
      <c r="A25" s="87">
        <v>460</v>
      </c>
      <c r="B25" s="89">
        <v>0.09</v>
      </c>
      <c r="C25" s="89">
        <f t="shared" si="0"/>
        <v>2.6558112382722783E-5</v>
      </c>
      <c r="D25" s="123"/>
      <c r="E25" s="123"/>
      <c r="F25" s="124"/>
      <c r="G25" s="124"/>
      <c r="H25" s="125"/>
    </row>
    <row r="26" spans="1:8" ht="19" x14ac:dyDescent="0.2">
      <c r="A26" s="87">
        <v>480</v>
      </c>
      <c r="B26" s="89">
        <v>0.11700000000000001</v>
      </c>
      <c r="C26" s="89">
        <f t="shared" si="0"/>
        <v>3.4352341016782737E-5</v>
      </c>
      <c r="D26" s="123"/>
      <c r="E26" s="123"/>
      <c r="F26" s="124"/>
      <c r="G26" s="124"/>
      <c r="H26" s="125"/>
    </row>
    <row r="27" spans="1:8" ht="19" x14ac:dyDescent="0.2">
      <c r="A27" s="87">
        <v>500</v>
      </c>
      <c r="B27" s="89">
        <v>0.121</v>
      </c>
      <c r="C27" s="89">
        <f t="shared" si="0"/>
        <v>3.5507041555161992E-5</v>
      </c>
      <c r="D27" s="123"/>
      <c r="E27" s="123"/>
      <c r="F27" s="124"/>
      <c r="G27" s="124"/>
      <c r="H27" s="125"/>
    </row>
    <row r="28" spans="1:8" ht="19" x14ac:dyDescent="0.2">
      <c r="A28" s="87">
        <v>520</v>
      </c>
      <c r="B28" s="89">
        <v>0.123</v>
      </c>
      <c r="C28" s="89">
        <f t="shared" si="0"/>
        <v>3.6084391824351612E-5</v>
      </c>
      <c r="D28" s="123"/>
      <c r="E28" s="123"/>
      <c r="F28" s="124"/>
      <c r="G28" s="124"/>
      <c r="H28" s="125"/>
    </row>
    <row r="29" spans="1:8" ht="19" x14ac:dyDescent="0.2">
      <c r="A29" s="87">
        <v>540</v>
      </c>
      <c r="B29" s="89">
        <v>0.125</v>
      </c>
      <c r="C29" s="89">
        <f t="shared" si="0"/>
        <v>3.666174209354124E-5</v>
      </c>
      <c r="D29" s="123"/>
      <c r="E29" s="123"/>
      <c r="F29" s="124"/>
      <c r="G29" s="124"/>
      <c r="H29" s="125"/>
    </row>
    <row r="30" spans="1:8" ht="19" x14ac:dyDescent="0.2">
      <c r="A30" s="87">
        <v>560</v>
      </c>
      <c r="B30" s="89">
        <v>0.128</v>
      </c>
      <c r="C30" s="89">
        <f t="shared" si="0"/>
        <v>3.7527767497325671E-5</v>
      </c>
      <c r="D30" s="123"/>
      <c r="E30" s="123"/>
      <c r="F30" s="124"/>
      <c r="G30" s="124"/>
      <c r="H30" s="125"/>
    </row>
    <row r="31" spans="1:8" ht="19" x14ac:dyDescent="0.2">
      <c r="A31" s="87">
        <v>580</v>
      </c>
      <c r="B31" s="89">
        <v>0.129</v>
      </c>
      <c r="C31" s="89">
        <f t="shared" si="0"/>
        <v>3.7816442631920495E-5</v>
      </c>
      <c r="D31" s="123"/>
      <c r="E31" s="123"/>
      <c r="F31" s="124"/>
      <c r="G31" s="124"/>
      <c r="H31" s="125"/>
    </row>
    <row r="32" spans="1:8" ht="19" x14ac:dyDescent="0.2">
      <c r="A32" s="87">
        <v>600</v>
      </c>
      <c r="B32" s="89">
        <v>0.129</v>
      </c>
      <c r="C32" s="89">
        <f t="shared" si="0"/>
        <v>3.7816442631920495E-5</v>
      </c>
      <c r="D32" s="123"/>
      <c r="E32" s="123"/>
      <c r="F32" s="124"/>
      <c r="G32" s="124"/>
      <c r="H32" s="125"/>
    </row>
    <row r="33" spans="1:8" ht="19" x14ac:dyDescent="0.2">
      <c r="A33" s="87">
        <v>620</v>
      </c>
      <c r="B33" s="89">
        <v>0.13</v>
      </c>
      <c r="C33" s="89">
        <f t="shared" si="0"/>
        <v>3.8105117766515305E-5</v>
      </c>
      <c r="D33" s="123"/>
      <c r="E33" s="123"/>
      <c r="F33" s="124"/>
      <c r="G33" s="124"/>
      <c r="H33" s="125"/>
    </row>
    <row r="34" spans="1:8" ht="19" x14ac:dyDescent="0.2">
      <c r="A34" s="87">
        <v>640</v>
      </c>
      <c r="B34" s="89">
        <v>0.13</v>
      </c>
      <c r="C34" s="89">
        <f t="shared" si="0"/>
        <v>3.8105117766515305E-5</v>
      </c>
      <c r="D34" s="123"/>
      <c r="E34" s="123"/>
      <c r="F34" s="124"/>
      <c r="G34" s="124"/>
      <c r="H34" s="125"/>
    </row>
    <row r="35" spans="1:8" ht="19" x14ac:dyDescent="0.2">
      <c r="A35" s="87">
        <v>660</v>
      </c>
      <c r="B35" s="89">
        <v>0.13</v>
      </c>
      <c r="C35" s="89">
        <f t="shared" si="0"/>
        <v>3.8105117766515305E-5</v>
      </c>
      <c r="D35" s="123"/>
      <c r="E35" s="123"/>
      <c r="F35" s="124"/>
      <c r="G35" s="124"/>
      <c r="H35" s="125"/>
    </row>
    <row r="36" spans="1:8" ht="19" x14ac:dyDescent="0.2">
      <c r="A36" s="87">
        <v>680</v>
      </c>
      <c r="B36" s="89">
        <v>0.13</v>
      </c>
      <c r="C36" s="89">
        <f t="shared" si="0"/>
        <v>3.8105117766515305E-5</v>
      </c>
      <c r="D36" s="123"/>
      <c r="E36" s="123"/>
      <c r="F36" s="124"/>
      <c r="G36" s="124"/>
      <c r="H36" s="125"/>
    </row>
    <row r="37" spans="1:8" ht="19" x14ac:dyDescent="0.2">
      <c r="A37" s="87">
        <v>700</v>
      </c>
      <c r="B37" s="89">
        <v>0.13</v>
      </c>
      <c r="C37" s="89">
        <f t="shared" si="0"/>
        <v>3.8105117766515305E-5</v>
      </c>
      <c r="D37" s="123"/>
      <c r="E37" s="123"/>
      <c r="F37" s="124"/>
      <c r="G37" s="124"/>
      <c r="H37" s="125"/>
    </row>
    <row r="38" spans="1:8" ht="19" x14ac:dyDescent="0.2">
      <c r="A38" s="87">
        <v>720</v>
      </c>
      <c r="B38" s="89">
        <v>0.13</v>
      </c>
      <c r="C38" s="89">
        <f t="shared" si="0"/>
        <v>3.8105117766515305E-5</v>
      </c>
      <c r="D38" s="123"/>
      <c r="E38" s="123"/>
      <c r="F38" s="124"/>
      <c r="G38" s="124"/>
      <c r="H38" s="125"/>
    </row>
    <row r="39" spans="1:8" ht="19" x14ac:dyDescent="0.2">
      <c r="A39" s="87">
        <v>740</v>
      </c>
      <c r="B39" s="89">
        <v>0.13</v>
      </c>
      <c r="C39" s="89">
        <f t="shared" si="0"/>
        <v>3.8105117766515305E-5</v>
      </c>
      <c r="D39" s="123"/>
      <c r="E39" s="123"/>
      <c r="F39" s="124"/>
      <c r="G39" s="124"/>
      <c r="H39" s="125"/>
    </row>
    <row r="40" spans="1:8" ht="19" x14ac:dyDescent="0.2">
      <c r="A40" s="87">
        <v>760</v>
      </c>
      <c r="B40" s="89">
        <v>0.13</v>
      </c>
      <c r="C40" s="89">
        <f t="shared" si="0"/>
        <v>3.8105117766515305E-5</v>
      </c>
      <c r="D40" s="123"/>
      <c r="E40" s="123"/>
      <c r="F40" s="124"/>
      <c r="G40" s="124"/>
      <c r="H40" s="125"/>
    </row>
    <row r="41" spans="1:8" ht="19" x14ac:dyDescent="0.2">
      <c r="A41" s="87">
        <v>780</v>
      </c>
      <c r="B41" s="89">
        <v>0.13</v>
      </c>
      <c r="C41" s="89">
        <f t="shared" si="0"/>
        <v>3.8105117766515305E-5</v>
      </c>
      <c r="D41" s="123"/>
      <c r="E41" s="123"/>
      <c r="F41" s="124"/>
      <c r="G41" s="124"/>
      <c r="H41" s="125"/>
    </row>
    <row r="42" spans="1:8" ht="19" x14ac:dyDescent="0.2">
      <c r="A42" s="87">
        <v>800</v>
      </c>
      <c r="B42" s="89">
        <v>0.13</v>
      </c>
      <c r="C42" s="89">
        <f t="shared" si="0"/>
        <v>3.8105117766515305E-5</v>
      </c>
      <c r="D42" s="123"/>
      <c r="E42" s="123"/>
      <c r="F42" s="124"/>
      <c r="G42" s="124"/>
      <c r="H42" s="125"/>
    </row>
    <row r="43" spans="1:8" ht="19" x14ac:dyDescent="0.2">
      <c r="A43" s="87">
        <v>820</v>
      </c>
      <c r="B43" s="89">
        <v>0.13</v>
      </c>
      <c r="C43" s="89">
        <f t="shared" si="0"/>
        <v>3.8105117766515305E-5</v>
      </c>
      <c r="D43" s="123"/>
      <c r="E43" s="123"/>
      <c r="F43" s="124"/>
      <c r="G43" s="124"/>
      <c r="H43" s="125"/>
    </row>
    <row r="44" spans="1:8" ht="19" x14ac:dyDescent="0.2">
      <c r="A44" s="87">
        <v>840</v>
      </c>
      <c r="B44" s="89">
        <v>0.13</v>
      </c>
      <c r="C44" s="89">
        <f t="shared" si="0"/>
        <v>3.8105117766515305E-5</v>
      </c>
      <c r="D44" s="123"/>
      <c r="E44" s="123"/>
      <c r="F44" s="124"/>
      <c r="G44" s="124"/>
      <c r="H44" s="125"/>
    </row>
    <row r="45" spans="1:8" ht="19" x14ac:dyDescent="0.2">
      <c r="A45" s="87">
        <v>860</v>
      </c>
      <c r="B45" s="89">
        <v>0.129</v>
      </c>
      <c r="C45" s="89">
        <f t="shared" si="0"/>
        <v>3.7816442631920495E-5</v>
      </c>
      <c r="D45" s="123"/>
      <c r="E45" s="123"/>
      <c r="F45" s="124"/>
      <c r="G45" s="124"/>
      <c r="H45" s="125"/>
    </row>
    <row r="46" spans="1:8" ht="19" x14ac:dyDescent="0.2">
      <c r="A46" s="87">
        <v>880</v>
      </c>
      <c r="B46" s="89">
        <v>0.128</v>
      </c>
      <c r="C46" s="89">
        <f t="shared" si="0"/>
        <v>3.7527767497325671E-5</v>
      </c>
      <c r="D46" s="123"/>
      <c r="E46" s="123"/>
      <c r="F46" s="124"/>
      <c r="G46" s="124"/>
      <c r="H46" s="125"/>
    </row>
    <row r="47" spans="1:8" ht="19" x14ac:dyDescent="0.2">
      <c r="A47" s="87">
        <v>900</v>
      </c>
      <c r="B47" s="89">
        <v>0.127</v>
      </c>
      <c r="C47" s="89">
        <f t="shared" si="0"/>
        <v>3.723909236273086E-5</v>
      </c>
      <c r="D47" s="123"/>
      <c r="E47" s="123"/>
      <c r="F47" s="124"/>
      <c r="G47" s="124"/>
      <c r="H47" s="125"/>
    </row>
    <row r="48" spans="1:8" ht="19" x14ac:dyDescent="0.2">
      <c r="A48" s="87">
        <v>920</v>
      </c>
      <c r="B48" s="89">
        <v>0.126</v>
      </c>
      <c r="C48" s="89">
        <f t="shared" si="0"/>
        <v>3.695041722813605E-5</v>
      </c>
      <c r="D48" s="123"/>
      <c r="E48" s="123"/>
      <c r="F48" s="124"/>
      <c r="G48" s="124"/>
      <c r="H48" s="125"/>
    </row>
    <row r="49" spans="1:8" ht="19" x14ac:dyDescent="0.2">
      <c r="A49" s="87">
        <v>940</v>
      </c>
      <c r="B49" s="89">
        <v>0.126</v>
      </c>
      <c r="C49" s="89">
        <f t="shared" si="0"/>
        <v>3.695041722813605E-5</v>
      </c>
      <c r="D49" s="123"/>
      <c r="E49" s="123"/>
      <c r="F49" s="124"/>
      <c r="G49" s="124"/>
      <c r="H49" s="125"/>
    </row>
    <row r="50" spans="1:8" ht="19" x14ac:dyDescent="0.2">
      <c r="A50" s="87">
        <v>960</v>
      </c>
      <c r="B50" s="89">
        <v>0.125</v>
      </c>
      <c r="C50" s="89">
        <f t="shared" si="0"/>
        <v>3.666174209354124E-5</v>
      </c>
      <c r="D50" s="123"/>
      <c r="E50" s="123"/>
      <c r="F50" s="124"/>
      <c r="G50" s="124"/>
      <c r="H50" s="125"/>
    </row>
    <row r="51" spans="1:8" ht="19" x14ac:dyDescent="0.2">
      <c r="A51" s="87">
        <v>980</v>
      </c>
      <c r="B51" s="89">
        <v>0.124</v>
      </c>
      <c r="C51" s="89">
        <f t="shared" si="0"/>
        <v>3.6373066958946423E-5</v>
      </c>
      <c r="D51" s="123"/>
      <c r="E51" s="123"/>
      <c r="F51" s="124"/>
      <c r="G51" s="124"/>
      <c r="H51" s="125"/>
    </row>
    <row r="52" spans="1:8" ht="19" x14ac:dyDescent="0.2">
      <c r="A52" s="87">
        <v>1000</v>
      </c>
      <c r="B52" s="89">
        <v>0.123</v>
      </c>
      <c r="C52" s="89">
        <f t="shared" si="0"/>
        <v>3.6084391824351612E-5</v>
      </c>
      <c r="D52" s="123"/>
      <c r="E52" s="123"/>
      <c r="F52" s="124"/>
      <c r="G52" s="124"/>
      <c r="H52" s="125"/>
    </row>
    <row r="53" spans="1:8" ht="19" x14ac:dyDescent="0.2">
      <c r="A53" s="87">
        <v>1020</v>
      </c>
      <c r="B53" s="89">
        <v>0.122</v>
      </c>
      <c r="C53" s="89">
        <f t="shared" si="0"/>
        <v>3.5795716689756802E-5</v>
      </c>
      <c r="D53" s="123"/>
      <c r="E53" s="123"/>
      <c r="F53" s="124"/>
      <c r="G53" s="124"/>
      <c r="H53" s="125"/>
    </row>
    <row r="54" spans="1:8" ht="19" x14ac:dyDescent="0.2">
      <c r="A54" s="87">
        <v>1040</v>
      </c>
      <c r="B54" s="89">
        <v>0.121</v>
      </c>
      <c r="C54" s="89">
        <f t="shared" si="0"/>
        <v>3.5507041555161992E-5</v>
      </c>
      <c r="D54" s="123"/>
      <c r="E54" s="123"/>
      <c r="F54" s="124"/>
      <c r="G54" s="124"/>
      <c r="H54" s="125"/>
    </row>
    <row r="55" spans="1:8" ht="19" x14ac:dyDescent="0.2">
      <c r="A55" s="87">
        <v>1060</v>
      </c>
      <c r="B55" s="89">
        <v>0.11899999999999999</v>
      </c>
      <c r="C55" s="89">
        <f t="shared" si="0"/>
        <v>3.4929691285972357E-5</v>
      </c>
      <c r="D55" s="123"/>
      <c r="E55" s="123"/>
      <c r="F55" s="124"/>
      <c r="G55" s="124"/>
      <c r="H55" s="125"/>
    </row>
    <row r="56" spans="1:8" ht="19" x14ac:dyDescent="0.2">
      <c r="A56" s="87">
        <v>1080</v>
      </c>
      <c r="B56" s="89">
        <v>0.11700000000000001</v>
      </c>
      <c r="C56" s="89">
        <f t="shared" si="0"/>
        <v>3.4352341016782737E-5</v>
      </c>
      <c r="D56" s="123"/>
      <c r="E56" s="123"/>
      <c r="F56" s="124"/>
      <c r="G56" s="124"/>
      <c r="H56" s="125"/>
    </row>
    <row r="57" spans="1:8" ht="19" x14ac:dyDescent="0.2">
      <c r="A57" s="87">
        <v>1100</v>
      </c>
      <c r="B57" s="89">
        <v>0.115</v>
      </c>
      <c r="C57" s="89">
        <f t="shared" si="0"/>
        <v>3.3774990747593109E-5</v>
      </c>
      <c r="D57" s="123"/>
      <c r="E57" s="123"/>
      <c r="F57" s="124"/>
      <c r="G57" s="124"/>
      <c r="H57" s="125"/>
    </row>
    <row r="58" spans="1:8" ht="19" x14ac:dyDescent="0.2">
      <c r="A58" s="87">
        <v>1120</v>
      </c>
      <c r="B58" s="89">
        <v>0.11</v>
      </c>
      <c r="C58" s="89">
        <f t="shared" si="0"/>
        <v>3.2331615074619044E-5</v>
      </c>
      <c r="D58" s="123"/>
      <c r="E58" s="123"/>
      <c r="F58" s="124"/>
      <c r="G58" s="124"/>
      <c r="H58" s="125"/>
    </row>
    <row r="59" spans="1:8" ht="19" x14ac:dyDescent="0.2">
      <c r="A59" s="87">
        <v>1140</v>
      </c>
      <c r="B59" s="89">
        <v>0.106</v>
      </c>
      <c r="C59" s="89">
        <f t="shared" si="0"/>
        <v>3.1176914536239789E-5</v>
      </c>
      <c r="D59" s="123"/>
      <c r="E59" s="123"/>
      <c r="F59" s="124"/>
      <c r="G59" s="124"/>
      <c r="H59" s="125"/>
    </row>
    <row r="60" spans="1:8" ht="19" x14ac:dyDescent="0.2">
      <c r="A60" s="87">
        <v>1160</v>
      </c>
      <c r="B60" s="89">
        <v>0.10199999999999999</v>
      </c>
      <c r="C60" s="89">
        <f t="shared" si="0"/>
        <v>3.0022213997860541E-5</v>
      </c>
      <c r="D60" s="123"/>
      <c r="E60" s="123"/>
      <c r="F60" s="124"/>
      <c r="G60" s="124"/>
      <c r="H60" s="125"/>
    </row>
    <row r="61" spans="1:8" ht="19" x14ac:dyDescent="0.2">
      <c r="A61" s="87">
        <v>1180</v>
      </c>
      <c r="B61" s="89">
        <v>9.8000000000000004E-2</v>
      </c>
      <c r="C61" s="89">
        <f t="shared" si="0"/>
        <v>2.8867513459481293E-5</v>
      </c>
      <c r="D61" s="123"/>
      <c r="E61" s="123"/>
      <c r="F61" s="124"/>
      <c r="G61" s="124"/>
      <c r="H61" s="125"/>
    </row>
    <row r="62" spans="1:8" ht="19" x14ac:dyDescent="0.2">
      <c r="A62" s="87">
        <v>1200</v>
      </c>
      <c r="B62" s="89">
        <v>9.2999999999999999E-2</v>
      </c>
      <c r="C62" s="89">
        <f t="shared" si="0"/>
        <v>2.7424137786507224E-5</v>
      </c>
      <c r="D62" s="123"/>
      <c r="E62" s="123"/>
      <c r="F62" s="124"/>
      <c r="G62" s="124"/>
      <c r="H62" s="125"/>
    </row>
    <row r="63" spans="1:8" ht="19" x14ac:dyDescent="0.2">
      <c r="A63" s="87">
        <v>1220</v>
      </c>
      <c r="B63" s="89">
        <v>8.8999999999999996E-2</v>
      </c>
      <c r="C63" s="89">
        <f t="shared" si="0"/>
        <v>2.6269437248127972E-5</v>
      </c>
      <c r="D63" s="123"/>
      <c r="E63" s="123"/>
      <c r="F63" s="124"/>
      <c r="G63" s="124"/>
      <c r="H63" s="125"/>
    </row>
    <row r="64" spans="1:8" ht="19" x14ac:dyDescent="0.2">
      <c r="A64" s="87">
        <v>1240</v>
      </c>
      <c r="B64" s="89">
        <v>8.5999999999999993E-2</v>
      </c>
      <c r="C64" s="89">
        <f t="shared" si="0"/>
        <v>2.5403411844343531E-5</v>
      </c>
      <c r="D64" s="123"/>
      <c r="E64" s="123"/>
      <c r="F64" s="124"/>
      <c r="G64" s="124"/>
      <c r="H64" s="125"/>
    </row>
    <row r="65" spans="1:8" ht="19" x14ac:dyDescent="0.2">
      <c r="A65" s="87">
        <v>1260</v>
      </c>
      <c r="B65" s="89">
        <v>8.1000000000000003E-2</v>
      </c>
      <c r="C65" s="89">
        <f t="shared" si="0"/>
        <v>2.3960036171369469E-5</v>
      </c>
      <c r="D65" s="123"/>
      <c r="E65" s="123"/>
      <c r="F65" s="124"/>
      <c r="G65" s="124"/>
      <c r="H65" s="125"/>
    </row>
    <row r="66" spans="1:8" ht="19" x14ac:dyDescent="0.2">
      <c r="A66" s="87">
        <v>1280</v>
      </c>
      <c r="B66" s="89">
        <v>7.6999999999999999E-2</v>
      </c>
      <c r="C66" s="89">
        <f t="shared" si="0"/>
        <v>2.2805335632990218E-5</v>
      </c>
      <c r="D66" s="123"/>
      <c r="E66" s="123"/>
      <c r="F66" s="124"/>
      <c r="G66" s="124"/>
      <c r="H66" s="125"/>
    </row>
    <row r="67" spans="1:8" ht="19" x14ac:dyDescent="0.2">
      <c r="A67" s="87">
        <v>1300</v>
      </c>
      <c r="B67" s="89">
        <v>7.2999999999999995E-2</v>
      </c>
      <c r="C67" s="89">
        <f t="shared" si="0"/>
        <v>2.1650635094610966E-5</v>
      </c>
      <c r="D67" s="123"/>
      <c r="E67" s="123"/>
      <c r="F67" s="124"/>
      <c r="G67" s="124"/>
      <c r="H67" s="125"/>
    </row>
    <row r="68" spans="1:8" ht="19" x14ac:dyDescent="0.2">
      <c r="A68" s="87">
        <v>1320</v>
      </c>
      <c r="B68" s="89">
        <v>6.8000000000000005E-2</v>
      </c>
      <c r="C68" s="89">
        <f t="shared" ref="C68:C75" si="1">(0.0005*B68+0.0001*0.01)/SQRT(3)</f>
        <v>2.0207259421636904E-5</v>
      </c>
      <c r="D68" s="123"/>
      <c r="E68" s="123"/>
      <c r="F68" s="124"/>
      <c r="G68" s="124"/>
      <c r="H68" s="125"/>
    </row>
    <row r="69" spans="1:8" ht="19" x14ac:dyDescent="0.2">
      <c r="A69" s="87">
        <v>1340</v>
      </c>
      <c r="B69" s="89">
        <v>6.4000000000000001E-2</v>
      </c>
      <c r="C69" s="89">
        <f t="shared" si="1"/>
        <v>1.9052558883257649E-5</v>
      </c>
      <c r="D69" s="123"/>
      <c r="E69" s="123"/>
      <c r="F69" s="124"/>
      <c r="G69" s="124"/>
      <c r="H69" s="125"/>
    </row>
    <row r="70" spans="1:8" ht="19" x14ac:dyDescent="0.2">
      <c r="A70" s="87">
        <v>1360</v>
      </c>
      <c r="B70" s="89">
        <v>5.8000000000000003E-2</v>
      </c>
      <c r="C70" s="89">
        <f t="shared" si="1"/>
        <v>1.7320508075688777E-5</v>
      </c>
      <c r="D70" s="123"/>
      <c r="E70" s="123"/>
      <c r="F70" s="124"/>
      <c r="G70" s="124"/>
      <c r="H70" s="125"/>
    </row>
    <row r="71" spans="1:8" ht="19" x14ac:dyDescent="0.2">
      <c r="A71" s="87">
        <v>1380</v>
      </c>
      <c r="B71" s="89">
        <v>5.1999999999999998E-2</v>
      </c>
      <c r="C71" s="89">
        <f t="shared" si="1"/>
        <v>1.5588457268119894E-5</v>
      </c>
      <c r="D71" s="123"/>
      <c r="E71" s="123"/>
      <c r="F71" s="124"/>
      <c r="G71" s="124"/>
      <c r="H71" s="125"/>
    </row>
    <row r="72" spans="1:8" ht="19" x14ac:dyDescent="0.2">
      <c r="A72" s="87">
        <v>1400</v>
      </c>
      <c r="B72" s="89">
        <v>4.9000000000000002E-2</v>
      </c>
      <c r="C72" s="89">
        <f t="shared" si="1"/>
        <v>1.472243186433546E-5</v>
      </c>
      <c r="D72" s="123"/>
      <c r="E72" s="123"/>
      <c r="F72" s="124"/>
      <c r="G72" s="124"/>
      <c r="H72" s="125"/>
    </row>
    <row r="73" spans="1:8" ht="19" x14ac:dyDescent="0.2">
      <c r="A73" s="87">
        <v>1420</v>
      </c>
      <c r="B73" s="89">
        <v>4.2999999999999997E-2</v>
      </c>
      <c r="C73" s="89">
        <f t="shared" si="1"/>
        <v>1.2990381056766579E-5</v>
      </c>
      <c r="D73" s="123"/>
      <c r="E73" s="123"/>
      <c r="F73" s="124"/>
      <c r="G73" s="124"/>
      <c r="H73" s="125"/>
    </row>
    <row r="74" spans="1:8" ht="19" x14ac:dyDescent="0.2">
      <c r="A74" s="87">
        <v>1440</v>
      </c>
      <c r="B74" s="89">
        <v>3.6999999999999998E-2</v>
      </c>
      <c r="C74" s="89">
        <f t="shared" si="1"/>
        <v>1.1258330249197704E-5</v>
      </c>
      <c r="D74" s="123"/>
      <c r="E74" s="123"/>
      <c r="F74" s="124"/>
      <c r="G74" s="124"/>
      <c r="H74" s="125"/>
    </row>
    <row r="75" spans="1:8" ht="19" x14ac:dyDescent="0.2">
      <c r="A75" s="87">
        <v>1460</v>
      </c>
      <c r="B75" s="89">
        <v>3.1E-2</v>
      </c>
      <c r="C75" s="89">
        <f t="shared" si="1"/>
        <v>9.5262794416288263E-6</v>
      </c>
      <c r="D75" s="123"/>
      <c r="E75" s="123"/>
      <c r="F75" s="124"/>
      <c r="G75" s="124"/>
      <c r="H75" s="125"/>
    </row>
  </sheetData>
  <mergeCells count="5">
    <mergeCell ref="D3:D75"/>
    <mergeCell ref="E3:E75"/>
    <mergeCell ref="F3:F75"/>
    <mergeCell ref="G3:G75"/>
    <mergeCell ref="H3:H7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B9E33-B461-2047-B734-7C7A1DBF9DA9}">
  <dimension ref="B4:AK41"/>
  <sheetViews>
    <sheetView zoomScale="91" zoomScaleNormal="91" workbookViewId="0">
      <selection activeCell="P13" sqref="P13"/>
    </sheetView>
  </sheetViews>
  <sheetFormatPr baseColWidth="10" defaultRowHeight="16" x14ac:dyDescent="0.2"/>
  <cols>
    <col min="4" max="4" width="11.33203125" bestFit="1" customWidth="1"/>
    <col min="7" max="7" width="12.6640625" bestFit="1" customWidth="1"/>
    <col min="9" max="9" width="13.1640625" customWidth="1"/>
    <col min="10" max="10" width="11.33203125" bestFit="1" customWidth="1"/>
    <col min="11" max="11" width="11.6640625" bestFit="1" customWidth="1"/>
    <col min="14" max="14" width="12.33203125" bestFit="1" customWidth="1"/>
    <col min="15" max="15" width="12.83203125" bestFit="1" customWidth="1"/>
    <col min="18" max="18" width="13" bestFit="1" customWidth="1"/>
    <col min="19" max="19" width="13.5" bestFit="1" customWidth="1"/>
    <col min="21" max="21" width="12.1640625" bestFit="1" customWidth="1"/>
    <col min="23" max="23" width="12.83203125" bestFit="1" customWidth="1"/>
  </cols>
  <sheetData>
    <row r="4" spans="2:34" ht="18" x14ac:dyDescent="0.2">
      <c r="B4" s="97" t="s">
        <v>121</v>
      </c>
      <c r="C4" s="97" t="s">
        <v>122</v>
      </c>
      <c r="D4" s="97" t="s">
        <v>123</v>
      </c>
      <c r="E4" s="97" t="s">
        <v>40</v>
      </c>
      <c r="F4" s="97" t="s">
        <v>131</v>
      </c>
      <c r="G4" s="97" t="s">
        <v>132</v>
      </c>
      <c r="H4" s="97" t="s">
        <v>125</v>
      </c>
      <c r="I4" s="97" t="s">
        <v>127</v>
      </c>
      <c r="J4" s="97" t="s">
        <v>128</v>
      </c>
      <c r="K4" s="97" t="s">
        <v>136</v>
      </c>
      <c r="L4" s="97" t="s">
        <v>129</v>
      </c>
      <c r="M4" s="97" t="s">
        <v>137</v>
      </c>
      <c r="N4" s="97" t="s">
        <v>133</v>
      </c>
      <c r="O4" s="97" t="s">
        <v>134</v>
      </c>
      <c r="P4" s="97" t="s">
        <v>135</v>
      </c>
      <c r="Q4" s="97" t="s">
        <v>138</v>
      </c>
      <c r="R4" s="97" t="s">
        <v>139</v>
      </c>
      <c r="S4" s="97" t="s">
        <v>142</v>
      </c>
      <c r="AF4" s="97" t="s">
        <v>124</v>
      </c>
      <c r="AG4" s="97" t="s">
        <v>31</v>
      </c>
      <c r="AH4" s="97" t="s">
        <v>126</v>
      </c>
    </row>
    <row r="5" spans="2:34" x14ac:dyDescent="0.2">
      <c r="B5" s="46">
        <v>0</v>
      </c>
      <c r="C5" s="65">
        <v>-1.05</v>
      </c>
      <c r="D5" s="80">
        <f>(0.0005*C5+0.03)/SQRT(3)</f>
        <v>1.7017399184364217E-2</v>
      </c>
      <c r="E5" s="101">
        <f>5/SQRT(3)</f>
        <v>2.8867513459481291</v>
      </c>
      <c r="F5" s="80">
        <v>-2.3534650349650343</v>
      </c>
      <c r="G5" s="80">
        <v>4.3724471007939296E-2</v>
      </c>
      <c r="H5" s="70">
        <f t="shared" ref="H5:H41" si="0">RADIANS(B5)</f>
        <v>0</v>
      </c>
      <c r="I5" s="70">
        <f>RADIANS(417.25/2.3535)</f>
        <v>3.094279287846331</v>
      </c>
      <c r="J5" s="80">
        <f>0.5*SIN(H5-$I$5)</f>
        <v>-2.3647857730276708E-2</v>
      </c>
      <c r="K5" s="105"/>
      <c r="L5" s="69">
        <v>0.5</v>
      </c>
      <c r="M5" s="98">
        <v>0.05</v>
      </c>
      <c r="N5" s="69">
        <f>-301.5834023/P5</f>
        <v>-30.15834023</v>
      </c>
      <c r="O5" s="69">
        <f>SQRT( (AG24/N5)^2   +( AG24*Q5/P5)^2         )</f>
        <v>10.252613365971227</v>
      </c>
      <c r="P5" s="80">
        <v>10</v>
      </c>
      <c r="Q5" s="98">
        <f>0.5*15/100</f>
        <v>7.4999999999999997E-2</v>
      </c>
      <c r="R5" s="106">
        <f>1/(R27*S27*N5)</f>
        <v>-1.0349039777765662E+23</v>
      </c>
      <c r="S5" s="106">
        <f>SQRT(( O5/(R27*S27*N5^2) )^2 + ( 0.05/(R27*S27^2*N5) )^2)</f>
        <v>2.5872599446806285E+27</v>
      </c>
      <c r="AF5" s="46">
        <v>120</v>
      </c>
      <c r="AG5" s="46">
        <v>124.45</v>
      </c>
      <c r="AH5" s="46"/>
    </row>
    <row r="6" spans="2:34" x14ac:dyDescent="0.2">
      <c r="B6" s="96">
        <v>10</v>
      </c>
      <c r="C6" s="104">
        <v>24.29</v>
      </c>
      <c r="D6" s="103">
        <f t="shared" ref="D6:D41" si="1">(0.0005*C6+0.03)/SQRT(3)</f>
        <v>2.4332427094996781E-2</v>
      </c>
      <c r="H6" s="102">
        <f t="shared" si="0"/>
        <v>0.17453292519943295</v>
      </c>
      <c r="J6" s="103">
        <f t="shared" ref="J6:J41" si="2">0.5*SIN(H6-$I$5)</f>
        <v>-0.11001552036485447</v>
      </c>
      <c r="K6" s="99">
        <f t="shared" ref="K6:K41" si="3">SQRT((SIN(H6-$I$5)*$M$5)^2+($L$5*COS($H$5-$I$5)*$G$5)^2 + (L6*COS($H$5-$I$5)*3)^2)</f>
        <v>2.4452450858313431E-2</v>
      </c>
      <c r="AF6" s="46">
        <v>130</v>
      </c>
      <c r="AG6" s="46">
        <v>108.63</v>
      </c>
      <c r="AH6" s="46"/>
    </row>
    <row r="7" spans="2:34" x14ac:dyDescent="0.2">
      <c r="B7" s="46">
        <v>20</v>
      </c>
      <c r="C7" s="65">
        <v>50.84</v>
      </c>
      <c r="D7" s="80">
        <f t="shared" si="1"/>
        <v>3.1996751918489059E-2</v>
      </c>
      <c r="H7" s="70">
        <f t="shared" si="0"/>
        <v>0.3490658503988659</v>
      </c>
      <c r="J7" s="80">
        <f t="shared" si="2"/>
        <v>-0.1930404170836858</v>
      </c>
      <c r="K7" s="99">
        <f t="shared" si="3"/>
        <v>2.914677052514E-2</v>
      </c>
      <c r="AF7" s="46">
        <v>140</v>
      </c>
      <c r="AG7" s="46">
        <v>91.3</v>
      </c>
      <c r="AH7" s="46"/>
    </row>
    <row r="8" spans="2:34" x14ac:dyDescent="0.2">
      <c r="B8" s="46">
        <v>30</v>
      </c>
      <c r="C8" s="65">
        <v>75.16</v>
      </c>
      <c r="D8" s="80">
        <f t="shared" si="1"/>
        <v>3.9017331191834911E-2</v>
      </c>
      <c r="H8" s="70">
        <f t="shared" si="0"/>
        <v>0.52359877559829882</v>
      </c>
      <c r="J8" s="80">
        <f t="shared" si="2"/>
        <v>-0.27019987841259346</v>
      </c>
      <c r="K8" s="99">
        <f t="shared" si="3"/>
        <v>3.4741444251909552E-2</v>
      </c>
      <c r="AF8" s="46">
        <v>150</v>
      </c>
      <c r="AG8" s="46">
        <v>71.010000000000005</v>
      </c>
      <c r="AH8" s="46"/>
    </row>
    <row r="9" spans="2:34" x14ac:dyDescent="0.2">
      <c r="B9" s="46">
        <v>40</v>
      </c>
      <c r="C9" s="65">
        <v>93.77</v>
      </c>
      <c r="D9" s="80">
        <f t="shared" si="1"/>
        <v>4.4389575446644375E-2</v>
      </c>
      <c r="H9" s="70">
        <f t="shared" si="0"/>
        <v>0.69813170079773179</v>
      </c>
      <c r="J9" s="80">
        <f t="shared" si="2"/>
        <v>-0.3391494531636704</v>
      </c>
      <c r="K9" s="99">
        <f t="shared" si="3"/>
        <v>4.0337472920088865E-2</v>
      </c>
      <c r="AF9" s="46">
        <v>160</v>
      </c>
      <c r="AG9" s="46">
        <v>46.92</v>
      </c>
      <c r="AH9" s="46"/>
    </row>
    <row r="10" spans="2:34" x14ac:dyDescent="0.2">
      <c r="B10" s="46">
        <v>50</v>
      </c>
      <c r="C10" s="65">
        <v>112.55</v>
      </c>
      <c r="D10" s="80">
        <f t="shared" si="1"/>
        <v>4.9810894474334962E-2</v>
      </c>
      <c r="H10" s="70">
        <f t="shared" si="0"/>
        <v>0.87266462599716477</v>
      </c>
      <c r="J10" s="80">
        <f t="shared" si="2"/>
        <v>-0.39779414339827301</v>
      </c>
      <c r="K10" s="99">
        <f t="shared" si="3"/>
        <v>4.5379400734103952E-2</v>
      </c>
      <c r="AF10" s="46">
        <v>170</v>
      </c>
      <c r="AG10" s="46">
        <v>22</v>
      </c>
      <c r="AH10" s="46"/>
    </row>
    <row r="11" spans="2:34" x14ac:dyDescent="0.2">
      <c r="B11" s="46">
        <v>60</v>
      </c>
      <c r="C11" s="65">
        <v>126.32</v>
      </c>
      <c r="D11" s="80">
        <f t="shared" si="1"/>
        <v>5.3785951077705535E-2</v>
      </c>
      <c r="H11" s="70">
        <f t="shared" si="0"/>
        <v>1.0471975511965976</v>
      </c>
      <c r="J11" s="80">
        <f t="shared" si="2"/>
        <v>-0.44435205987926835</v>
      </c>
      <c r="K11" s="99">
        <f t="shared" si="3"/>
        <v>4.9511369774590412E-2</v>
      </c>
      <c r="AF11" s="46">
        <v>180</v>
      </c>
      <c r="AG11" s="46">
        <v>-4.82</v>
      </c>
      <c r="AH11" s="46"/>
    </row>
    <row r="12" spans="2:34" x14ac:dyDescent="0.2">
      <c r="B12" s="46">
        <v>70</v>
      </c>
      <c r="C12" s="65">
        <v>135.43</v>
      </c>
      <c r="D12" s="80">
        <f t="shared" si="1"/>
        <v>5.6415781553864293E-2</v>
      </c>
      <c r="H12" s="70">
        <f t="shared" si="0"/>
        <v>1.2217304763960306</v>
      </c>
      <c r="J12" s="80">
        <f t="shared" si="2"/>
        <v>-0.4774085638738238</v>
      </c>
      <c r="K12" s="99">
        <f t="shared" si="3"/>
        <v>5.2498357825434931E-2</v>
      </c>
      <c r="AF12" s="46">
        <v>190</v>
      </c>
      <c r="AG12" s="46">
        <v>-31.7</v>
      </c>
      <c r="AH12" s="46"/>
    </row>
    <row r="13" spans="2:34" x14ac:dyDescent="0.2">
      <c r="B13" s="46">
        <v>80</v>
      </c>
      <c r="C13" s="65">
        <v>141.93</v>
      </c>
      <c r="D13" s="80">
        <f t="shared" si="1"/>
        <v>5.8292169928730569E-2</v>
      </c>
      <c r="H13" s="70">
        <f t="shared" si="0"/>
        <v>1.3962634015954636</v>
      </c>
      <c r="J13" s="80">
        <f t="shared" si="2"/>
        <v>-0.49595925023546283</v>
      </c>
      <c r="K13" s="99">
        <f t="shared" si="3"/>
        <v>5.419081088808287E-2</v>
      </c>
      <c r="AF13" s="46">
        <v>200</v>
      </c>
      <c r="AG13" s="46">
        <v>-55.75</v>
      </c>
      <c r="AH13" s="46"/>
    </row>
    <row r="14" spans="2:34" x14ac:dyDescent="0.2">
      <c r="B14" s="46">
        <v>90</v>
      </c>
      <c r="C14" s="65">
        <v>144.12</v>
      </c>
      <c r="D14" s="80">
        <f t="shared" si="1"/>
        <v>5.8924368473493208E-2</v>
      </c>
      <c r="H14" s="70">
        <f t="shared" si="0"/>
        <v>1.5707963267948966</v>
      </c>
      <c r="J14" s="80">
        <f t="shared" si="2"/>
        <v>-0.49944046574618739</v>
      </c>
      <c r="K14" s="99">
        <f t="shared" si="3"/>
        <v>5.4509595430661764E-2</v>
      </c>
      <c r="AF14" s="46">
        <v>210</v>
      </c>
      <c r="AG14" s="46">
        <v>-81.77</v>
      </c>
      <c r="AH14" s="46"/>
    </row>
    <row r="15" spans="2:34" x14ac:dyDescent="0.2">
      <c r="B15" s="46">
        <v>100</v>
      </c>
      <c r="C15" s="65">
        <v>141.34</v>
      </c>
      <c r="D15" s="80">
        <f t="shared" si="1"/>
        <v>5.8121851599319624E-2</v>
      </c>
      <c r="H15" s="70">
        <f t="shared" si="0"/>
        <v>1.7453292519943295</v>
      </c>
      <c r="J15" s="80">
        <f t="shared" si="2"/>
        <v>-0.48774643543428409</v>
      </c>
      <c r="K15" s="99">
        <f t="shared" si="3"/>
        <v>5.3440191415780304E-2</v>
      </c>
      <c r="AF15" s="46">
        <v>220</v>
      </c>
      <c r="AG15" s="46">
        <v>-102.31</v>
      </c>
      <c r="AH15" s="46"/>
    </row>
    <row r="16" spans="2:34" x14ac:dyDescent="0.2">
      <c r="B16" s="46">
        <v>110</v>
      </c>
      <c r="C16" s="65">
        <v>135.19</v>
      </c>
      <c r="D16" s="80">
        <f t="shared" si="1"/>
        <v>5.6346499521561531E-2</v>
      </c>
      <c r="H16" s="70">
        <f t="shared" si="0"/>
        <v>1.9198621771937625</v>
      </c>
      <c r="J16" s="80">
        <f t="shared" si="2"/>
        <v>-0.46123247649331528</v>
      </c>
      <c r="K16" s="99">
        <f t="shared" si="3"/>
        <v>5.1031776174147642E-2</v>
      </c>
      <c r="AF16" s="46">
        <v>230</v>
      </c>
      <c r="AG16" s="46">
        <v>-123.23</v>
      </c>
      <c r="AH16" s="46"/>
    </row>
    <row r="17" spans="2:37" x14ac:dyDescent="0.2">
      <c r="B17" s="46">
        <v>120</v>
      </c>
      <c r="C17" s="65">
        <v>124.45</v>
      </c>
      <c r="D17" s="80">
        <f t="shared" si="1"/>
        <v>5.3246128576013241E-2</v>
      </c>
      <c r="H17" s="70">
        <f t="shared" si="0"/>
        <v>2.0943951023931953</v>
      </c>
      <c r="J17" s="80">
        <f t="shared" si="2"/>
        <v>-0.42070420214899173</v>
      </c>
      <c r="K17" s="99">
        <f t="shared" si="3"/>
        <v>4.7400511208476791E-2</v>
      </c>
    </row>
    <row r="18" spans="2:37" x14ac:dyDescent="0.2">
      <c r="B18" s="46">
        <v>130</v>
      </c>
      <c r="C18" s="65">
        <v>108.63</v>
      </c>
      <c r="D18" s="80">
        <f t="shared" si="1"/>
        <v>4.8679287946723299E-2</v>
      </c>
      <c r="H18" s="70">
        <f t="shared" si="0"/>
        <v>2.2689280275926285</v>
      </c>
      <c r="J18" s="80">
        <f t="shared" si="2"/>
        <v>-0.36739304350896923</v>
      </c>
      <c r="K18" s="99">
        <f t="shared" si="3"/>
        <v>4.273949800775121E-2</v>
      </c>
      <c r="AG18" s="97" t="s">
        <v>93</v>
      </c>
      <c r="AH18" s="46" cm="1">
        <f t="array" ref="AH18:AI22">LINEST(AG5:AG16,AF5:AF16,1,1)</f>
        <v>-2.3534650349650343</v>
      </c>
      <c r="AI18" s="46">
        <v>417.25054778554767</v>
      </c>
      <c r="AJ18" s="97" t="s">
        <v>120</v>
      </c>
    </row>
    <row r="19" spans="2:37" x14ac:dyDescent="0.2">
      <c r="B19" s="46">
        <v>140</v>
      </c>
      <c r="C19" s="65">
        <v>91.3</v>
      </c>
      <c r="D19" s="80">
        <f t="shared" si="1"/>
        <v>4.3676547864195191E-2</v>
      </c>
      <c r="H19" s="70">
        <f t="shared" si="0"/>
        <v>2.4434609527920612</v>
      </c>
      <c r="J19" s="80">
        <f t="shared" si="2"/>
        <v>-0.30291883315177714</v>
      </c>
      <c r="K19" s="99">
        <f t="shared" si="3"/>
        <v>3.7342822610872337E-2</v>
      </c>
      <c r="AG19" s="97" t="s">
        <v>96</v>
      </c>
      <c r="AH19" s="46">
        <v>4.3724471007939296E-2</v>
      </c>
      <c r="AI19" s="46">
        <v>7.7992331435427591</v>
      </c>
      <c r="AJ19" s="97" t="s">
        <v>97</v>
      </c>
    </row>
    <row r="20" spans="2:37" x14ac:dyDescent="0.2">
      <c r="B20" s="46">
        <v>150</v>
      </c>
      <c r="C20" s="65">
        <v>71.010000000000005</v>
      </c>
      <c r="D20" s="80">
        <f t="shared" si="1"/>
        <v>3.7819329383266445E-2</v>
      </c>
      <c r="H20" s="70">
        <f t="shared" si="0"/>
        <v>2.6179938779914944</v>
      </c>
      <c r="J20" s="80">
        <f t="shared" si="2"/>
        <v>-0.22924058733359384</v>
      </c>
      <c r="K20" s="99">
        <f t="shared" si="3"/>
        <v>3.1660711845712612E-2</v>
      </c>
      <c r="AH20" s="46">
        <v>0.99656016863667607</v>
      </c>
      <c r="AI20" s="46">
        <v>5.2286862516711574</v>
      </c>
    </row>
    <row r="21" spans="2:37" x14ac:dyDescent="0.2">
      <c r="B21" s="46">
        <v>160</v>
      </c>
      <c r="C21" s="65">
        <v>46.92</v>
      </c>
      <c r="D21" s="80">
        <f t="shared" si="1"/>
        <v>3.0865145390877397E-2</v>
      </c>
      <c r="H21" s="70">
        <f t="shared" si="0"/>
        <v>2.7925268031909272</v>
      </c>
      <c r="J21" s="80">
        <f t="shared" si="2"/>
        <v>-0.14859698227061383</v>
      </c>
      <c r="K21" s="99">
        <f t="shared" si="3"/>
        <v>2.6413989421631624E-2</v>
      </c>
      <c r="AH21" s="46">
        <v>2897.1192578281143</v>
      </c>
      <c r="AI21" s="46">
        <v>10</v>
      </c>
    </row>
    <row r="22" spans="2:37" x14ac:dyDescent="0.2">
      <c r="B22" s="46">
        <v>170</v>
      </c>
      <c r="C22" s="65">
        <v>22</v>
      </c>
      <c r="D22" s="80">
        <f t="shared" si="1"/>
        <v>2.3671361036774655E-2</v>
      </c>
      <c r="H22" s="70">
        <f t="shared" si="0"/>
        <v>2.9670597283903604</v>
      </c>
      <c r="J22" s="80">
        <f t="shared" si="2"/>
        <v>-6.3438333095042168E-2</v>
      </c>
      <c r="K22" s="99">
        <f t="shared" si="3"/>
        <v>2.2740545877914003E-2</v>
      </c>
      <c r="AH22" s="46">
        <v>79204.806692482525</v>
      </c>
      <c r="AI22" s="46">
        <v>273.39159918414975</v>
      </c>
    </row>
    <row r="23" spans="2:37" x14ac:dyDescent="0.2">
      <c r="B23" s="46">
        <v>180</v>
      </c>
      <c r="C23" s="65">
        <v>-4.82</v>
      </c>
      <c r="D23" s="80">
        <f t="shared" si="1"/>
        <v>1.5929093926941775E-2</v>
      </c>
      <c r="H23" s="70">
        <f t="shared" si="0"/>
        <v>3.1415926535897931</v>
      </c>
      <c r="J23" s="80">
        <f t="shared" si="2"/>
        <v>2.3647857730276646E-2</v>
      </c>
      <c r="K23" s="99">
        <f t="shared" si="3"/>
        <v>2.1965436884320108E-2</v>
      </c>
    </row>
    <row r="24" spans="2:37" x14ac:dyDescent="0.2">
      <c r="B24" s="46">
        <v>190</v>
      </c>
      <c r="C24" s="66">
        <v>-31.7</v>
      </c>
      <c r="D24" s="100">
        <f t="shared" si="1"/>
        <v>8.1695063090332053E-3</v>
      </c>
      <c r="H24" s="70">
        <f t="shared" si="0"/>
        <v>3.3161255787892263</v>
      </c>
      <c r="J24" s="80">
        <f t="shared" si="2"/>
        <v>0.11001552036485462</v>
      </c>
      <c r="K24" s="99">
        <f t="shared" si="3"/>
        <v>2.4452450858313438E-2</v>
      </c>
      <c r="AF24" s="97" t="s">
        <v>93</v>
      </c>
      <c r="AG24" cm="1">
        <f t="array" ref="AG24:AH28">LINEST(C5:C41,J5:J41,1,1)</f>
        <v>-301.58340226637029</v>
      </c>
      <c r="AH24">
        <v>-4.9714000375839866</v>
      </c>
      <c r="AI24" s="97" t="s">
        <v>120</v>
      </c>
      <c r="AK24" t="s">
        <v>130</v>
      </c>
    </row>
    <row r="25" spans="2:37" x14ac:dyDescent="0.2">
      <c r="B25" s="46">
        <v>200</v>
      </c>
      <c r="C25" s="66">
        <v>-55.75</v>
      </c>
      <c r="D25" s="100">
        <f t="shared" si="1"/>
        <v>1.226869322027954E-3</v>
      </c>
      <c r="H25" s="70">
        <f t="shared" si="0"/>
        <v>3.4906585039886591</v>
      </c>
      <c r="J25" s="80">
        <f t="shared" si="2"/>
        <v>0.19304041708368574</v>
      </c>
      <c r="K25" s="99">
        <f t="shared" si="3"/>
        <v>2.914677052514E-2</v>
      </c>
      <c r="AF25" s="97" t="s">
        <v>96</v>
      </c>
      <c r="AG25">
        <v>2.0957382486206129</v>
      </c>
      <c r="AH25">
        <v>0.73091928042025112</v>
      </c>
      <c r="AI25" s="97" t="s">
        <v>97</v>
      </c>
    </row>
    <row r="26" spans="2:37" x14ac:dyDescent="0.2">
      <c r="B26" s="46">
        <v>210</v>
      </c>
      <c r="C26" s="66">
        <v>-81.77</v>
      </c>
      <c r="D26" s="100">
        <f t="shared" si="1"/>
        <v>-6.2844576801290766E-3</v>
      </c>
      <c r="H26" s="70">
        <f t="shared" si="0"/>
        <v>3.6651914291880923</v>
      </c>
      <c r="J26" s="80">
        <f t="shared" si="2"/>
        <v>0.27019987841259363</v>
      </c>
      <c r="K26" s="99">
        <f t="shared" si="3"/>
        <v>3.4741444251909559E-2</v>
      </c>
      <c r="R26" t="s">
        <v>140</v>
      </c>
      <c r="S26" t="s">
        <v>141</v>
      </c>
      <c r="AG26">
        <v>0.99831269402520506</v>
      </c>
      <c r="AH26">
        <v>4.446000946161794</v>
      </c>
    </row>
    <row r="27" spans="2:37" x14ac:dyDescent="0.2">
      <c r="B27" s="46">
        <v>220</v>
      </c>
      <c r="C27" s="65">
        <v>-102.31</v>
      </c>
      <c r="D27" s="80">
        <f t="shared" si="1"/>
        <v>-1.2213844944706533E-2</v>
      </c>
      <c r="H27" s="70">
        <f t="shared" si="0"/>
        <v>3.839724354387525</v>
      </c>
      <c r="J27" s="80">
        <f t="shared" si="2"/>
        <v>0.33914945316367034</v>
      </c>
      <c r="K27" s="99">
        <f t="shared" si="3"/>
        <v>4.0337472920088865E-2</v>
      </c>
      <c r="R27">
        <f>1.602*10^(-19)</f>
        <v>1.602E-19</v>
      </c>
      <c r="S27">
        <f>2*10^(-6)</f>
        <v>1.9999999999999999E-6</v>
      </c>
      <c r="AG27">
        <v>20708.125741763793</v>
      </c>
      <c r="AH27">
        <v>35</v>
      </c>
    </row>
    <row r="28" spans="2:37" x14ac:dyDescent="0.2">
      <c r="B28" s="46">
        <v>230</v>
      </c>
      <c r="C28" s="65">
        <v>-123.23</v>
      </c>
      <c r="D28" s="80">
        <f t="shared" si="1"/>
        <v>-1.8252928760430023E-2</v>
      </c>
      <c r="H28" s="70">
        <f t="shared" si="0"/>
        <v>4.0142572795869578</v>
      </c>
      <c r="J28" s="80">
        <f t="shared" si="2"/>
        <v>0.39779414339827296</v>
      </c>
      <c r="K28" s="99">
        <f t="shared" si="3"/>
        <v>4.5379400734103945E-2</v>
      </c>
      <c r="AG28">
        <v>409335.95627796801</v>
      </c>
      <c r="AH28">
        <v>691.84235446450475</v>
      </c>
    </row>
    <row r="29" spans="2:37" x14ac:dyDescent="0.2">
      <c r="B29" s="46">
        <v>240</v>
      </c>
      <c r="C29" s="65">
        <v>-136.77000000000001</v>
      </c>
      <c r="D29" s="80">
        <f t="shared" si="1"/>
        <v>-2.2161590082843789E-2</v>
      </c>
      <c r="H29" s="70">
        <f t="shared" si="0"/>
        <v>4.1887902047863905</v>
      </c>
      <c r="J29" s="80">
        <f t="shared" si="2"/>
        <v>0.44435205987926829</v>
      </c>
      <c r="K29" s="99">
        <f t="shared" si="3"/>
        <v>4.9511369774590405E-2</v>
      </c>
    </row>
    <row r="30" spans="2:37" x14ac:dyDescent="0.2">
      <c r="B30" s="46">
        <v>250</v>
      </c>
      <c r="C30" s="65">
        <v>-147.19999999999999</v>
      </c>
      <c r="D30" s="80">
        <f t="shared" si="1"/>
        <v>-2.5172471736667684E-2</v>
      </c>
      <c r="H30" s="70">
        <f t="shared" si="0"/>
        <v>4.3633231299858242</v>
      </c>
      <c r="J30" s="80">
        <f t="shared" si="2"/>
        <v>0.47740856387382385</v>
      </c>
      <c r="K30" s="99">
        <f t="shared" si="3"/>
        <v>5.2498357825434938E-2</v>
      </c>
    </row>
    <row r="31" spans="2:37" x14ac:dyDescent="0.2">
      <c r="B31" s="46">
        <v>260</v>
      </c>
      <c r="C31" s="65">
        <v>-154.66999999999999</v>
      </c>
      <c r="D31" s="80">
        <f t="shared" si="1"/>
        <v>-2.7328874992090937E-2</v>
      </c>
      <c r="H31" s="70">
        <f t="shared" si="0"/>
        <v>4.5378560551852569</v>
      </c>
      <c r="J31" s="80">
        <f t="shared" si="2"/>
        <v>0.49595925023546289</v>
      </c>
      <c r="K31" s="99">
        <f t="shared" si="3"/>
        <v>5.419081088808287E-2</v>
      </c>
    </row>
    <row r="32" spans="2:37" x14ac:dyDescent="0.2">
      <c r="B32" s="46">
        <v>270</v>
      </c>
      <c r="C32" s="65">
        <v>-156.46</v>
      </c>
      <c r="D32" s="80">
        <f t="shared" si="1"/>
        <v>-2.7845603483015659E-2</v>
      </c>
      <c r="H32" s="70">
        <f t="shared" si="0"/>
        <v>4.7123889803846897</v>
      </c>
      <c r="J32" s="80">
        <f t="shared" si="2"/>
        <v>0.49944046574618739</v>
      </c>
      <c r="K32" s="99">
        <f t="shared" si="3"/>
        <v>5.4509595430661764E-2</v>
      </c>
    </row>
    <row r="33" spans="2:11" x14ac:dyDescent="0.2">
      <c r="B33" s="46">
        <v>280</v>
      </c>
      <c r="C33" s="65">
        <v>-154.16</v>
      </c>
      <c r="D33" s="80">
        <f t="shared" si="1"/>
        <v>-2.7181650673447581E-2</v>
      </c>
      <c r="H33" s="70">
        <f t="shared" si="0"/>
        <v>4.8869219055841224</v>
      </c>
      <c r="J33" s="80">
        <f t="shared" si="2"/>
        <v>0.48774643543428414</v>
      </c>
      <c r="K33" s="99">
        <f t="shared" si="3"/>
        <v>5.3440191415780311E-2</v>
      </c>
    </row>
    <row r="34" spans="2:11" x14ac:dyDescent="0.2">
      <c r="B34" s="46">
        <v>290</v>
      </c>
      <c r="C34" s="65">
        <v>-146.63999999999999</v>
      </c>
      <c r="D34" s="80">
        <f t="shared" si="1"/>
        <v>-2.5010813661294588E-2</v>
      </c>
      <c r="H34" s="70">
        <f t="shared" si="0"/>
        <v>5.0614548307835561</v>
      </c>
      <c r="J34" s="80">
        <f t="shared" si="2"/>
        <v>0.46123247649331522</v>
      </c>
      <c r="K34" s="99">
        <f t="shared" si="3"/>
        <v>5.1031776174147635E-2</v>
      </c>
    </row>
    <row r="35" spans="2:11" x14ac:dyDescent="0.2">
      <c r="B35" s="46">
        <v>300</v>
      </c>
      <c r="C35" s="65">
        <v>-134.38999999999999</v>
      </c>
      <c r="D35" s="80">
        <f t="shared" si="1"/>
        <v>-2.1474543262508129E-2</v>
      </c>
      <c r="H35" s="70">
        <f t="shared" si="0"/>
        <v>5.2359877559829888</v>
      </c>
      <c r="J35" s="80">
        <f t="shared" si="2"/>
        <v>0.42070420214899168</v>
      </c>
      <c r="K35" s="99">
        <f t="shared" si="3"/>
        <v>4.7400511208476784E-2</v>
      </c>
    </row>
    <row r="36" spans="2:11" x14ac:dyDescent="0.2">
      <c r="B36" s="46">
        <v>310</v>
      </c>
      <c r="C36" s="65">
        <v>-120.63</v>
      </c>
      <c r="D36" s="80">
        <f t="shared" si="1"/>
        <v>-1.7502373410483506E-2</v>
      </c>
      <c r="H36" s="70">
        <f t="shared" si="0"/>
        <v>5.4105206811824216</v>
      </c>
      <c r="J36" s="80">
        <f t="shared" si="2"/>
        <v>0.36739304350896929</v>
      </c>
      <c r="K36" s="99">
        <f t="shared" si="3"/>
        <v>4.2739498007751217E-2</v>
      </c>
    </row>
    <row r="37" spans="2:11" x14ac:dyDescent="0.2">
      <c r="B37" s="46">
        <v>320</v>
      </c>
      <c r="C37" s="65">
        <v>-102.26</v>
      </c>
      <c r="D37" s="80">
        <f t="shared" si="1"/>
        <v>-1.2199411187976794E-2</v>
      </c>
      <c r="H37" s="70">
        <f t="shared" si="0"/>
        <v>5.5850536063818543</v>
      </c>
      <c r="J37" s="80">
        <f t="shared" si="2"/>
        <v>0.3029188331517772</v>
      </c>
      <c r="K37" s="99">
        <f t="shared" si="3"/>
        <v>3.7342822610872344E-2</v>
      </c>
    </row>
    <row r="38" spans="2:11" x14ac:dyDescent="0.2">
      <c r="B38" s="46">
        <v>330</v>
      </c>
      <c r="C38" s="66">
        <v>-78.94</v>
      </c>
      <c r="D38" s="100">
        <f t="shared" si="1"/>
        <v>-5.4675070492257562E-3</v>
      </c>
      <c r="H38" s="70">
        <f t="shared" si="0"/>
        <v>5.7595865315812871</v>
      </c>
      <c r="J38" s="80">
        <f t="shared" si="2"/>
        <v>0.22924058733359409</v>
      </c>
      <c r="K38" s="99">
        <f t="shared" si="3"/>
        <v>3.1660711845712633E-2</v>
      </c>
    </row>
    <row r="39" spans="2:11" x14ac:dyDescent="0.2">
      <c r="B39" s="46">
        <v>340</v>
      </c>
      <c r="C39" s="66">
        <v>-54.82</v>
      </c>
      <c r="D39" s="100">
        <f t="shared" si="1"/>
        <v>1.49533719720113E-3</v>
      </c>
      <c r="H39" s="70">
        <f t="shared" si="0"/>
        <v>5.9341194567807207</v>
      </c>
      <c r="J39" s="80">
        <f t="shared" si="2"/>
        <v>0.14859698227061366</v>
      </c>
      <c r="K39" s="99">
        <f t="shared" si="3"/>
        <v>2.6413989421631617E-2</v>
      </c>
    </row>
    <row r="40" spans="2:11" x14ac:dyDescent="0.2">
      <c r="B40" s="46">
        <v>350</v>
      </c>
      <c r="C40" s="66">
        <v>-30.44</v>
      </c>
      <c r="D40" s="100">
        <f t="shared" si="1"/>
        <v>8.5332369786226686E-3</v>
      </c>
      <c r="H40" s="70">
        <f t="shared" si="0"/>
        <v>6.1086523819801535</v>
      </c>
      <c r="J40" s="80">
        <f t="shared" si="2"/>
        <v>6.3438333095042237E-2</v>
      </c>
      <c r="K40" s="99">
        <f t="shared" si="3"/>
        <v>2.2740545877914003E-2</v>
      </c>
    </row>
    <row r="41" spans="2:11" x14ac:dyDescent="0.2">
      <c r="B41" s="46">
        <v>360</v>
      </c>
      <c r="C41" s="65">
        <v>-4.05</v>
      </c>
      <c r="D41" s="80">
        <f t="shared" si="1"/>
        <v>1.6151373780579781E-2</v>
      </c>
      <c r="H41" s="70">
        <f t="shared" si="0"/>
        <v>6.2831853071795862</v>
      </c>
      <c r="J41" s="80">
        <f t="shared" si="2"/>
        <v>-2.3647857730276587E-2</v>
      </c>
      <c r="K41" s="99">
        <f t="shared" si="3"/>
        <v>2.1965436884320108E-2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F09C-7161-E047-81B4-BE229B8051DC}">
  <dimension ref="F4:Q34"/>
  <sheetViews>
    <sheetView topLeftCell="F1" zoomScale="130" zoomScaleNormal="130" workbookViewId="0">
      <selection activeCell="N15" sqref="N15"/>
    </sheetView>
  </sheetViews>
  <sheetFormatPr baseColWidth="10" defaultColWidth="10.83203125" defaultRowHeight="16" x14ac:dyDescent="0.2"/>
  <cols>
    <col min="1" max="1" width="10.83203125" style="43"/>
    <col min="2" max="2" width="6.83203125" style="43" customWidth="1"/>
    <col min="3" max="3" width="9.1640625" style="43" customWidth="1"/>
    <col min="4" max="4" width="8.83203125" style="43" customWidth="1"/>
    <col min="5" max="5" width="9.6640625" style="43" customWidth="1"/>
    <col min="6" max="6" width="10.83203125" style="43"/>
    <col min="7" max="7" width="11.83203125" style="43" bestFit="1" customWidth="1"/>
    <col min="8" max="8" width="12.5" style="43" customWidth="1"/>
    <col min="9" max="9" width="13.6640625" style="43" customWidth="1"/>
    <col min="10" max="10" width="11.6640625" style="43" bestFit="1" customWidth="1"/>
    <col min="11" max="11" width="12.6640625" style="43" bestFit="1" customWidth="1"/>
    <col min="12" max="12" width="10.83203125" style="43"/>
    <col min="13" max="13" width="10.6640625" style="43" customWidth="1"/>
    <col min="14" max="15" width="10.83203125" style="43"/>
    <col min="16" max="16" width="17.6640625" style="43" customWidth="1"/>
    <col min="17" max="17" width="13.6640625" style="43" bestFit="1" customWidth="1"/>
    <col min="18" max="27" width="10.83203125" style="43"/>
    <col min="28" max="28" width="18.6640625" style="43" customWidth="1"/>
    <col min="29" max="16384" width="10.83203125" style="43"/>
  </cols>
  <sheetData>
    <row r="4" spans="7:17" ht="18" x14ac:dyDescent="0.2">
      <c r="G4" s="93" t="s">
        <v>117</v>
      </c>
      <c r="H4" s="93" t="s">
        <v>118</v>
      </c>
      <c r="I4" s="93" t="s">
        <v>109</v>
      </c>
      <c r="J4" s="93" t="s">
        <v>107</v>
      </c>
      <c r="K4" s="93" t="s">
        <v>119</v>
      </c>
      <c r="L4" s="93" t="s">
        <v>110</v>
      </c>
      <c r="M4" s="93" t="s">
        <v>111</v>
      </c>
      <c r="N4" s="93" t="s">
        <v>115</v>
      </c>
      <c r="O4" s="93" t="s">
        <v>113</v>
      </c>
      <c r="P4" s="93" t="s">
        <v>116</v>
      </c>
      <c r="Q4" s="93" t="s">
        <v>112</v>
      </c>
    </row>
    <row r="5" spans="7:17" x14ac:dyDescent="0.2">
      <c r="G5" s="130">
        <v>905</v>
      </c>
      <c r="H5" s="136">
        <v>4</v>
      </c>
      <c r="I5" s="136">
        <v>23.3</v>
      </c>
      <c r="J5" s="67">
        <v>24.6</v>
      </c>
      <c r="K5" s="137">
        <v>0.57999999999999996</v>
      </c>
      <c r="L5" s="67">
        <f>J5-$I$5</f>
        <v>1.3000000000000007</v>
      </c>
      <c r="M5" s="138">
        <f>1/SQRT(3) * SQRT(1+1)</f>
        <v>0.81649658092772615</v>
      </c>
      <c r="N5" s="46">
        <v>0.02</v>
      </c>
      <c r="O5" s="136">
        <v>0.01</v>
      </c>
      <c r="P5" s="94">
        <f>N5/$G$5</f>
        <v>2.2099447513812157E-5</v>
      </c>
      <c r="Q5" s="133">
        <f>$O$5/($G$5*SQRT(3)) * SQRT(($H$5/$G$5)^2 + 1)</f>
        <v>6.3796232989282925E-6</v>
      </c>
    </row>
    <row r="6" spans="7:17" x14ac:dyDescent="0.2">
      <c r="G6" s="131"/>
      <c r="H6" s="136"/>
      <c r="I6" s="136"/>
      <c r="J6" s="67">
        <v>27.6</v>
      </c>
      <c r="K6" s="137"/>
      <c r="L6" s="67">
        <f t="shared" ref="L6:L11" si="0">J6-$I$5</f>
        <v>4.3000000000000007</v>
      </c>
      <c r="M6" s="139"/>
      <c r="N6" s="46">
        <v>0.04</v>
      </c>
      <c r="O6" s="136"/>
      <c r="P6" s="94">
        <f t="shared" ref="P6:P12" si="1">N6/$G$5</f>
        <v>4.4198895027624314E-5</v>
      </c>
      <c r="Q6" s="134"/>
    </row>
    <row r="7" spans="7:17" x14ac:dyDescent="0.2">
      <c r="G7" s="131"/>
      <c r="H7" s="136"/>
      <c r="I7" s="136"/>
      <c r="J7" s="67">
        <v>32.1</v>
      </c>
      <c r="K7" s="137"/>
      <c r="L7" s="67">
        <f t="shared" si="0"/>
        <v>8.8000000000000007</v>
      </c>
      <c r="M7" s="139"/>
      <c r="N7" s="46">
        <v>0.08</v>
      </c>
      <c r="O7" s="136"/>
      <c r="P7" s="94">
        <f t="shared" si="1"/>
        <v>8.8397790055248627E-5</v>
      </c>
      <c r="Q7" s="134"/>
    </row>
    <row r="8" spans="7:17" x14ac:dyDescent="0.2">
      <c r="G8" s="131"/>
      <c r="H8" s="136"/>
      <c r="I8" s="136"/>
      <c r="J8" s="67">
        <v>37.6</v>
      </c>
      <c r="K8" s="137"/>
      <c r="L8" s="67">
        <f t="shared" si="0"/>
        <v>14.3</v>
      </c>
      <c r="M8" s="139"/>
      <c r="N8" s="46">
        <v>0.17</v>
      </c>
      <c r="O8" s="136"/>
      <c r="P8" s="94">
        <f t="shared" si="1"/>
        <v>1.8784530386740334E-4</v>
      </c>
      <c r="Q8" s="134"/>
    </row>
    <row r="9" spans="7:17" x14ac:dyDescent="0.2">
      <c r="G9" s="131"/>
      <c r="H9" s="136"/>
      <c r="I9" s="136"/>
      <c r="J9" s="67">
        <v>44.4</v>
      </c>
      <c r="K9" s="137"/>
      <c r="L9" s="67">
        <f t="shared" si="0"/>
        <v>21.099999999999998</v>
      </c>
      <c r="M9" s="139"/>
      <c r="N9" s="46">
        <v>0.25</v>
      </c>
      <c r="O9" s="136"/>
      <c r="P9" s="94">
        <f t="shared" si="1"/>
        <v>2.7624309392265195E-4</v>
      </c>
      <c r="Q9" s="134"/>
    </row>
    <row r="10" spans="7:17" x14ac:dyDescent="0.2">
      <c r="G10" s="131"/>
      <c r="H10" s="136"/>
      <c r="I10" s="136"/>
      <c r="J10" s="67">
        <v>53</v>
      </c>
      <c r="K10" s="137"/>
      <c r="L10" s="67">
        <f t="shared" si="0"/>
        <v>29.7</v>
      </c>
      <c r="M10" s="139"/>
      <c r="N10" s="46">
        <v>0.39</v>
      </c>
      <c r="O10" s="136"/>
      <c r="P10" s="94">
        <f t="shared" si="1"/>
        <v>4.3093922651933701E-4</v>
      </c>
      <c r="Q10" s="134"/>
    </row>
    <row r="11" spans="7:17" x14ac:dyDescent="0.2">
      <c r="G11" s="131"/>
      <c r="H11" s="136"/>
      <c r="I11" s="136"/>
      <c r="J11" s="67">
        <v>61.3</v>
      </c>
      <c r="K11" s="137"/>
      <c r="L11" s="67">
        <f t="shared" si="0"/>
        <v>38</v>
      </c>
      <c r="M11" s="139"/>
      <c r="N11" s="46">
        <v>0.53</v>
      </c>
      <c r="O11" s="136"/>
      <c r="P11" s="94">
        <f t="shared" si="1"/>
        <v>5.8563535911602212E-4</v>
      </c>
      <c r="Q11" s="134"/>
    </row>
    <row r="12" spans="7:17" x14ac:dyDescent="0.2">
      <c r="G12" s="132"/>
      <c r="H12" s="136"/>
      <c r="I12" s="136"/>
      <c r="J12" s="67">
        <v>72.8</v>
      </c>
      <c r="K12" s="137"/>
      <c r="L12" s="67">
        <f>J12-$I$5</f>
        <v>49.5</v>
      </c>
      <c r="M12" s="140"/>
      <c r="N12" s="46">
        <v>0.65</v>
      </c>
      <c r="O12" s="136"/>
      <c r="P12" s="94">
        <f t="shared" si="1"/>
        <v>7.1823204419889505E-4</v>
      </c>
      <c r="Q12" s="135"/>
    </row>
    <row r="16" spans="7:17" x14ac:dyDescent="0.2">
      <c r="G16" s="68" t="s">
        <v>1</v>
      </c>
      <c r="H16" s="68" t="s">
        <v>106</v>
      </c>
      <c r="I16" s="68" t="s">
        <v>108</v>
      </c>
      <c r="J16" s="68" t="s">
        <v>2</v>
      </c>
      <c r="K16" s="68" t="s">
        <v>3</v>
      </c>
    </row>
    <row r="17" spans="6:12" x14ac:dyDescent="0.2">
      <c r="G17" s="46">
        <v>1</v>
      </c>
      <c r="H17" s="66">
        <v>0.1</v>
      </c>
      <c r="I17" s="66">
        <f t="shared" ref="I17:I23" si="2">(H17*0.01 + 0.01)/SQRT(3)</f>
        <v>6.3508529610858833E-3</v>
      </c>
      <c r="J17" s="65">
        <v>0.7</v>
      </c>
      <c r="K17" s="65">
        <f t="shared" ref="K17:K24" si="3">(J17*0.01 + 0.1)/SQRT(3)</f>
        <v>6.1776478803289965E-2</v>
      </c>
    </row>
    <row r="18" spans="6:12" x14ac:dyDescent="0.2">
      <c r="G18" s="46">
        <v>2</v>
      </c>
      <c r="H18" s="66">
        <v>0.2</v>
      </c>
      <c r="I18" s="66">
        <f t="shared" si="2"/>
        <v>6.9282032302755096E-3</v>
      </c>
      <c r="J18" s="65">
        <v>1.3</v>
      </c>
      <c r="K18" s="65">
        <f t="shared" si="3"/>
        <v>6.5240580418427715E-2</v>
      </c>
    </row>
    <row r="19" spans="6:12" x14ac:dyDescent="0.2">
      <c r="G19" s="46">
        <v>3</v>
      </c>
      <c r="H19" s="66">
        <v>0.3</v>
      </c>
      <c r="I19" s="66">
        <f t="shared" si="2"/>
        <v>7.5055534994651358E-3</v>
      </c>
      <c r="J19" s="65">
        <v>2</v>
      </c>
      <c r="K19" s="65">
        <f t="shared" si="3"/>
        <v>6.9282032302755106E-2</v>
      </c>
    </row>
    <row r="20" spans="6:12" x14ac:dyDescent="0.2">
      <c r="G20" s="46">
        <v>4</v>
      </c>
      <c r="H20" s="66">
        <v>0.4</v>
      </c>
      <c r="I20" s="66">
        <f t="shared" si="2"/>
        <v>8.082903768654762E-3</v>
      </c>
      <c r="J20" s="65">
        <v>2.6</v>
      </c>
      <c r="K20" s="65">
        <f t="shared" si="3"/>
        <v>7.274613391789285E-2</v>
      </c>
    </row>
    <row r="21" spans="6:12" x14ac:dyDescent="0.2">
      <c r="G21" s="46">
        <v>5</v>
      </c>
      <c r="H21" s="66">
        <v>0.5</v>
      </c>
      <c r="I21" s="66">
        <f t="shared" si="2"/>
        <v>8.6602540378443865E-3</v>
      </c>
      <c r="J21" s="65">
        <v>3.3</v>
      </c>
      <c r="K21" s="65">
        <f t="shared" si="3"/>
        <v>7.678758580222024E-2</v>
      </c>
    </row>
    <row r="22" spans="6:12" x14ac:dyDescent="0.2">
      <c r="G22" s="46">
        <v>6</v>
      </c>
      <c r="H22" s="66">
        <v>0.6</v>
      </c>
      <c r="I22" s="66">
        <f t="shared" si="2"/>
        <v>9.2376043070340128E-3</v>
      </c>
      <c r="J22" s="65">
        <v>3.9</v>
      </c>
      <c r="K22" s="65">
        <f t="shared" si="3"/>
        <v>8.0251687417357997E-2</v>
      </c>
    </row>
    <row r="23" spans="6:12" x14ac:dyDescent="0.2">
      <c r="G23" s="46">
        <v>7</v>
      </c>
      <c r="H23" s="66">
        <v>0.7</v>
      </c>
      <c r="I23" s="66">
        <f t="shared" si="2"/>
        <v>9.814954576223639E-3</v>
      </c>
      <c r="J23" s="65">
        <v>4.7</v>
      </c>
      <c r="K23" s="65">
        <f t="shared" si="3"/>
        <v>8.4870489570875007E-2</v>
      </c>
    </row>
    <row r="24" spans="6:12" x14ac:dyDescent="0.2">
      <c r="G24" s="46">
        <v>8</v>
      </c>
      <c r="H24" s="65">
        <v>0.8</v>
      </c>
      <c r="I24" s="65">
        <f>0.011</f>
        <v>1.0999999999999999E-2</v>
      </c>
      <c r="J24" s="65">
        <v>5.4</v>
      </c>
      <c r="K24" s="65">
        <f t="shared" si="3"/>
        <v>8.8911941455202384E-2</v>
      </c>
    </row>
    <row r="27" spans="6:12" x14ac:dyDescent="0.2">
      <c r="G27" s="45" t="s">
        <v>62</v>
      </c>
      <c r="H27" s="45" t="s">
        <v>78</v>
      </c>
      <c r="I27" s="45" t="s">
        <v>63</v>
      </c>
      <c r="J27" s="45" t="s">
        <v>79</v>
      </c>
      <c r="K27" s="45" t="s">
        <v>39</v>
      </c>
      <c r="L27" s="45" t="s">
        <v>40</v>
      </c>
    </row>
    <row r="28" spans="6:12" x14ac:dyDescent="0.2">
      <c r="G28" s="95">
        <f>G30</f>
        <v>1.5207548141361967E-5</v>
      </c>
      <c r="H28" s="95">
        <f>0.00000048</f>
        <v>4.7999999999999996E-7</v>
      </c>
      <c r="I28" s="52">
        <f>H30</f>
        <v>-2.3258672423306719E-5</v>
      </c>
      <c r="J28" s="52">
        <f>0.000013</f>
        <v>1.2999999999999999E-5</v>
      </c>
      <c r="K28" s="95">
        <f>G28</f>
        <v>1.5207548141361967E-5</v>
      </c>
      <c r="L28" s="95">
        <f>H28</f>
        <v>4.7999999999999996E-7</v>
      </c>
    </row>
    <row r="30" spans="6:12" x14ac:dyDescent="0.2">
      <c r="F30" s="43" t="s">
        <v>62</v>
      </c>
      <c r="G30" s="43" cm="1">
        <f t="array" ref="G30:H34">LINEST(P5:P12,L5:L12,1,1)</f>
        <v>1.5207548141361967E-5</v>
      </c>
      <c r="H30" s="43">
        <v>-2.3258672423306719E-5</v>
      </c>
      <c r="I30" s="43" t="s">
        <v>114</v>
      </c>
    </row>
    <row r="31" spans="6:12" x14ac:dyDescent="0.2">
      <c r="F31" s="43" t="s">
        <v>78</v>
      </c>
      <c r="G31" s="43">
        <v>4.7369704864138902E-7</v>
      </c>
      <c r="H31" s="43">
        <v>1.2447127970103525E-5</v>
      </c>
    </row>
    <row r="32" spans="6:12" x14ac:dyDescent="0.2">
      <c r="G32" s="43">
        <v>0.9942122029038345</v>
      </c>
      <c r="H32" s="43">
        <v>2.1382240876843214E-5</v>
      </c>
    </row>
    <row r="33" spans="7:8" x14ac:dyDescent="0.2">
      <c r="G33" s="43">
        <v>1030.6638464183713</v>
      </c>
      <c r="H33" s="43">
        <v>6</v>
      </c>
    </row>
    <row r="34" spans="7:8" x14ac:dyDescent="0.2">
      <c r="G34" s="43">
        <v>4.7121974239459382E-7</v>
      </c>
      <c r="H34" s="43">
        <v>2.7432013494920691E-9</v>
      </c>
    </row>
  </sheetData>
  <mergeCells count="7">
    <mergeCell ref="G5:G12"/>
    <mergeCell ref="Q5:Q12"/>
    <mergeCell ref="I5:I12"/>
    <mergeCell ref="K5:K12"/>
    <mergeCell ref="H5:H12"/>
    <mergeCell ref="O5:O12"/>
    <mergeCell ref="M5:M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3472-4398-1E44-A62A-1EAA96E1B5D0}">
  <dimension ref="B4:Y32"/>
  <sheetViews>
    <sheetView showGridLines="0" topLeftCell="A9" zoomScale="130" zoomScaleNormal="130" workbookViewId="0">
      <selection activeCell="V8" sqref="V8"/>
    </sheetView>
  </sheetViews>
  <sheetFormatPr baseColWidth="10" defaultColWidth="11" defaultRowHeight="16" x14ac:dyDescent="0.2"/>
  <cols>
    <col min="5" max="7" width="11.6640625" bestFit="1" customWidth="1"/>
    <col min="8" max="8" width="15" bestFit="1" customWidth="1"/>
    <col min="10" max="10" width="12.1640625" bestFit="1" customWidth="1"/>
    <col min="11" max="11" width="15" bestFit="1" customWidth="1"/>
    <col min="15" max="15" width="12.83203125" bestFit="1" customWidth="1"/>
    <col min="17" max="17" width="14.6640625" bestFit="1" customWidth="1"/>
    <col min="18" max="20" width="11.6640625" bestFit="1" customWidth="1"/>
    <col min="21" max="21" width="12.6640625" bestFit="1" customWidth="1"/>
    <col min="22" max="22" width="15" bestFit="1" customWidth="1"/>
    <col min="23" max="23" width="12.83203125" bestFit="1" customWidth="1"/>
    <col min="24" max="24" width="12.1640625" bestFit="1" customWidth="1"/>
    <col min="25" max="25" width="15" bestFit="1" customWidth="1"/>
  </cols>
  <sheetData>
    <row r="4" spans="2:23" x14ac:dyDescent="0.2">
      <c r="B4" t="s">
        <v>75</v>
      </c>
      <c r="O4" t="s">
        <v>74</v>
      </c>
    </row>
    <row r="6" spans="2:23" ht="18" x14ac:dyDescent="0.2">
      <c r="B6" s="141" t="s">
        <v>61</v>
      </c>
      <c r="C6" s="68" t="s">
        <v>37</v>
      </c>
      <c r="D6" s="68" t="s">
        <v>38</v>
      </c>
      <c r="E6" s="68" t="s">
        <v>76</v>
      </c>
      <c r="F6" s="68" t="s">
        <v>77</v>
      </c>
      <c r="O6" s="142" t="s">
        <v>61</v>
      </c>
      <c r="P6" s="76" t="s">
        <v>37</v>
      </c>
      <c r="Q6" s="76" t="s">
        <v>38</v>
      </c>
      <c r="R6" s="76" t="s">
        <v>83</v>
      </c>
      <c r="S6" s="76" t="s">
        <v>82</v>
      </c>
      <c r="T6" s="76" t="s">
        <v>68</v>
      </c>
      <c r="U6" s="76" t="s">
        <v>84</v>
      </c>
      <c r="V6" s="76" t="s">
        <v>88</v>
      </c>
      <c r="W6" s="76" t="s">
        <v>85</v>
      </c>
    </row>
    <row r="7" spans="2:23" x14ac:dyDescent="0.2">
      <c r="B7" s="141"/>
      <c r="C7" s="45" t="s">
        <v>64</v>
      </c>
      <c r="D7" s="45" t="s">
        <v>64</v>
      </c>
      <c r="E7" s="45" t="s">
        <v>64</v>
      </c>
      <c r="F7" s="45" t="s">
        <v>64</v>
      </c>
      <c r="O7" s="142"/>
      <c r="P7" s="77" t="s">
        <v>64</v>
      </c>
      <c r="Q7" s="77" t="s">
        <v>64</v>
      </c>
      <c r="R7" s="77" t="s">
        <v>65</v>
      </c>
      <c r="S7" s="77" t="s">
        <v>65</v>
      </c>
      <c r="T7" s="77" t="s">
        <v>69</v>
      </c>
      <c r="U7" s="77" t="s">
        <v>69</v>
      </c>
      <c r="V7" s="77" t="s">
        <v>72</v>
      </c>
      <c r="W7" s="77" t="s">
        <v>72</v>
      </c>
    </row>
    <row r="8" spans="2:23" x14ac:dyDescent="0.2">
      <c r="B8" s="46">
        <v>1</v>
      </c>
      <c r="C8" s="67">
        <v>21.4</v>
      </c>
      <c r="D8" s="137">
        <f>1/SQRT(3)</f>
        <v>0.57735026918962584</v>
      </c>
      <c r="E8" s="67">
        <v>112.1</v>
      </c>
      <c r="F8" s="67">
        <f>(0.005*E8+0.01)/SQRT(3)</f>
        <v>0.32937832857268151</v>
      </c>
      <c r="O8" s="46">
        <v>1</v>
      </c>
      <c r="P8" s="67">
        <v>21.4</v>
      </c>
      <c r="Q8" s="136">
        <v>0.57999999999999996</v>
      </c>
      <c r="R8" s="65">
        <v>16.95</v>
      </c>
      <c r="S8" s="65">
        <f>(0.005*R8+0.01)/SQRT(3)</f>
        <v>5.4703938005717039E-2</v>
      </c>
      <c r="T8" s="66">
        <f t="shared" ref="T8:T28" si="0">1000/(273.15+P8)</f>
        <v>3.3950093362756752</v>
      </c>
      <c r="U8" s="66">
        <f>1000/(P8+273.5)^2*0.58</f>
        <v>6.6692722823549115E-3</v>
      </c>
      <c r="V8" s="66">
        <f>LN(T8)</f>
        <v>1.2223065110144409</v>
      </c>
      <c r="W8" s="66">
        <f>1/R8*S8</f>
        <v>3.227370973788616E-3</v>
      </c>
    </row>
    <row r="9" spans="2:23" x14ac:dyDescent="0.2">
      <c r="B9" s="46">
        <v>2</v>
      </c>
      <c r="C9" s="67">
        <v>25.4</v>
      </c>
      <c r="D9" s="137"/>
      <c r="E9" s="67">
        <v>113.2</v>
      </c>
      <c r="F9" s="67">
        <f t="shared" ref="F9:F28" si="1">(0.005*E9+0.01)/SQRT(3)</f>
        <v>0.33255375505322449</v>
      </c>
      <c r="O9" s="46">
        <v>2</v>
      </c>
      <c r="P9" s="67">
        <v>25.4</v>
      </c>
      <c r="Q9" s="136"/>
      <c r="R9" s="65">
        <v>15.7</v>
      </c>
      <c r="S9" s="65">
        <f t="shared" ref="S9:S28" si="2">(0.005*R9+0.01)/SQRT(3)</f>
        <v>5.1095498823281883E-2</v>
      </c>
      <c r="T9" s="66">
        <f t="shared" si="0"/>
        <v>3.3495226930162456</v>
      </c>
      <c r="U9" s="66">
        <f t="shared" ref="U9:U28" si="3">1000/(P9+273.5)^2*0.58</f>
        <v>6.4919649062286046E-3</v>
      </c>
      <c r="V9" s="66">
        <f t="shared" ref="V9:V28" si="4">LN(T9)</f>
        <v>1.2088178559891358</v>
      </c>
      <c r="W9" s="66">
        <f t="shared" ref="W9:W28" si="5">1/R9*S9</f>
        <v>3.2544903709096741E-3</v>
      </c>
    </row>
    <row r="10" spans="2:23" x14ac:dyDescent="0.2">
      <c r="B10" s="46">
        <v>3</v>
      </c>
      <c r="C10" s="67">
        <v>28.4</v>
      </c>
      <c r="D10" s="137"/>
      <c r="E10" s="67">
        <v>114.3</v>
      </c>
      <c r="F10" s="67">
        <f t="shared" si="1"/>
        <v>0.33572918153376741</v>
      </c>
      <c r="O10" s="46">
        <v>3</v>
      </c>
      <c r="P10" s="67">
        <v>28.4</v>
      </c>
      <c r="Q10" s="136"/>
      <c r="R10" s="65">
        <v>13.9</v>
      </c>
      <c r="S10" s="65">
        <f t="shared" si="2"/>
        <v>4.5899346400575254E-2</v>
      </c>
      <c r="T10" s="66">
        <f t="shared" si="0"/>
        <v>3.3161996352180405</v>
      </c>
      <c r="U10" s="66">
        <f t="shared" si="3"/>
        <v>6.36358379923727E-3</v>
      </c>
      <c r="V10" s="66">
        <f t="shared" si="4"/>
        <v>1.1988194390851414</v>
      </c>
      <c r="W10" s="66">
        <f t="shared" si="5"/>
        <v>3.3021112518399464E-3</v>
      </c>
    </row>
    <row r="11" spans="2:23" x14ac:dyDescent="0.2">
      <c r="B11" s="46">
        <v>4</v>
      </c>
      <c r="C11" s="67">
        <v>31.4</v>
      </c>
      <c r="D11" s="137"/>
      <c r="E11" s="67">
        <v>115.4</v>
      </c>
      <c r="F11" s="67">
        <f t="shared" si="1"/>
        <v>0.33890460801431038</v>
      </c>
      <c r="O11" s="46">
        <v>4</v>
      </c>
      <c r="P11" s="67">
        <v>31.4</v>
      </c>
      <c r="Q11" s="136"/>
      <c r="R11" s="65">
        <v>12.7</v>
      </c>
      <c r="S11" s="65">
        <f t="shared" si="2"/>
        <v>4.2435244785437497E-2</v>
      </c>
      <c r="T11" s="66">
        <f t="shared" si="0"/>
        <v>3.2835330815957975</v>
      </c>
      <c r="U11" s="66">
        <f t="shared" si="3"/>
        <v>6.2389735554651748E-3</v>
      </c>
      <c r="V11" s="66">
        <f t="shared" si="4"/>
        <v>1.1889200016996435</v>
      </c>
      <c r="W11" s="66">
        <f t="shared" si="5"/>
        <v>3.3413578571210626E-3</v>
      </c>
    </row>
    <row r="12" spans="2:23" x14ac:dyDescent="0.2">
      <c r="B12" s="46">
        <v>5</v>
      </c>
      <c r="C12" s="67">
        <v>34.4</v>
      </c>
      <c r="D12" s="137"/>
      <c r="E12" s="67">
        <v>116.1</v>
      </c>
      <c r="F12" s="67">
        <f t="shared" si="1"/>
        <v>0.34092533395647406</v>
      </c>
      <c r="O12" s="46">
        <v>5</v>
      </c>
      <c r="P12" s="67">
        <v>34.4</v>
      </c>
      <c r="Q12" s="136"/>
      <c r="R12" s="65">
        <v>12.54</v>
      </c>
      <c r="S12" s="65">
        <f t="shared" si="2"/>
        <v>4.197336457008579E-2</v>
      </c>
      <c r="T12" s="66">
        <f t="shared" si="0"/>
        <v>3.2515038205169895</v>
      </c>
      <c r="U12" s="66">
        <f t="shared" si="3"/>
        <v>6.1179879287878861E-3</v>
      </c>
      <c r="V12" s="66">
        <f t="shared" si="4"/>
        <v>1.1791176033277599</v>
      </c>
      <c r="W12" s="66">
        <f t="shared" si="5"/>
        <v>3.3471582591774953E-3</v>
      </c>
    </row>
    <row r="13" spans="2:23" x14ac:dyDescent="0.2">
      <c r="B13" s="46">
        <v>6</v>
      </c>
      <c r="C13" s="67">
        <v>37.4</v>
      </c>
      <c r="D13" s="137"/>
      <c r="E13" s="67">
        <v>116.2</v>
      </c>
      <c r="F13" s="67">
        <f t="shared" si="1"/>
        <v>0.34121400909106891</v>
      </c>
      <c r="O13" s="46">
        <v>6</v>
      </c>
      <c r="P13" s="67">
        <v>37.4</v>
      </c>
      <c r="Q13" s="136"/>
      <c r="R13" s="65">
        <v>11.29</v>
      </c>
      <c r="S13" s="65">
        <f t="shared" si="2"/>
        <v>3.8364925387650635E-2</v>
      </c>
      <c r="T13" s="66">
        <f t="shared" si="0"/>
        <v>3.2200933827080989</v>
      </c>
      <c r="U13" s="66">
        <f t="shared" si="3"/>
        <v>6.0004876948102307E-3</v>
      </c>
      <c r="V13" s="66">
        <f t="shared" si="4"/>
        <v>1.1694103599768251</v>
      </c>
      <c r="W13" s="66">
        <f t="shared" si="5"/>
        <v>3.398133338144432E-3</v>
      </c>
    </row>
    <row r="14" spans="2:23" x14ac:dyDescent="0.2">
      <c r="B14" s="46">
        <v>7</v>
      </c>
      <c r="C14" s="67">
        <v>40.4</v>
      </c>
      <c r="D14" s="137"/>
      <c r="E14" s="67">
        <v>117.7</v>
      </c>
      <c r="F14" s="67">
        <f t="shared" si="1"/>
        <v>0.34554413610999107</v>
      </c>
      <c r="O14" s="46">
        <v>7</v>
      </c>
      <c r="P14" s="67">
        <v>40.4</v>
      </c>
      <c r="Q14" s="136"/>
      <c r="R14" s="65">
        <v>9.86</v>
      </c>
      <c r="S14" s="65">
        <f t="shared" si="2"/>
        <v>3.423687096294481E-2</v>
      </c>
      <c r="T14" s="66">
        <f t="shared" si="0"/>
        <v>3.1892840057407117</v>
      </c>
      <c r="U14" s="66">
        <f t="shared" si="3"/>
        <v>5.8863402501552527E-3</v>
      </c>
      <c r="V14" s="66">
        <f t="shared" si="4"/>
        <v>1.1597964419931073</v>
      </c>
      <c r="W14" s="66">
        <f t="shared" si="5"/>
        <v>3.4722992863027197E-3</v>
      </c>
    </row>
    <row r="15" spans="2:23" x14ac:dyDescent="0.2">
      <c r="B15" s="46">
        <v>8</v>
      </c>
      <c r="C15" s="67">
        <v>43.4</v>
      </c>
      <c r="D15" s="137"/>
      <c r="E15" s="67">
        <v>118.7</v>
      </c>
      <c r="F15" s="67">
        <f t="shared" si="1"/>
        <v>0.3484308874559392</v>
      </c>
      <c r="O15" s="46">
        <v>8</v>
      </c>
      <c r="P15" s="67">
        <v>43.4</v>
      </c>
      <c r="Q15" s="136"/>
      <c r="R15" s="65">
        <v>9</v>
      </c>
      <c r="S15" s="65">
        <f t="shared" si="2"/>
        <v>3.1754264805429422E-2</v>
      </c>
      <c r="T15" s="66">
        <f t="shared" si="0"/>
        <v>3.1590586005370405</v>
      </c>
      <c r="U15" s="66">
        <f t="shared" si="3"/>
        <v>5.7754192381803812E-3</v>
      </c>
      <c r="V15" s="66">
        <f t="shared" si="4"/>
        <v>1.1502740719920017</v>
      </c>
      <c r="W15" s="66">
        <f t="shared" si="5"/>
        <v>3.5282516450477132E-3</v>
      </c>
    </row>
    <row r="16" spans="2:23" x14ac:dyDescent="0.2">
      <c r="B16" s="46">
        <v>9</v>
      </c>
      <c r="C16" s="67">
        <v>46.4</v>
      </c>
      <c r="D16" s="137"/>
      <c r="E16" s="67">
        <v>119.7</v>
      </c>
      <c r="F16" s="67">
        <f t="shared" si="1"/>
        <v>0.35131763880188732</v>
      </c>
      <c r="O16" s="46">
        <v>9</v>
      </c>
      <c r="P16" s="67">
        <v>46.4</v>
      </c>
      <c r="Q16" s="136"/>
      <c r="R16" s="65">
        <v>8.1999999999999993</v>
      </c>
      <c r="S16" s="65">
        <f t="shared" si="2"/>
        <v>2.9444863728670913E-2</v>
      </c>
      <c r="T16" s="66">
        <f t="shared" si="0"/>
        <v>3.1294007197621658</v>
      </c>
      <c r="U16" s="66">
        <f t="shared" si="3"/>
        <v>5.6676041991474951E-3</v>
      </c>
      <c r="V16" s="66">
        <f t="shared" si="4"/>
        <v>1.1408415228858464</v>
      </c>
      <c r="W16" s="66">
        <f t="shared" si="5"/>
        <v>3.5908370400818189E-3</v>
      </c>
    </row>
    <row r="17" spans="2:25" x14ac:dyDescent="0.2">
      <c r="B17" s="46">
        <v>10</v>
      </c>
      <c r="C17" s="67">
        <v>49.4</v>
      </c>
      <c r="D17" s="137"/>
      <c r="E17" s="67">
        <v>120.7</v>
      </c>
      <c r="F17" s="67">
        <f t="shared" si="1"/>
        <v>0.35420439014783545</v>
      </c>
      <c r="O17" s="46">
        <v>10</v>
      </c>
      <c r="P17" s="67">
        <v>49.4</v>
      </c>
      <c r="Q17" s="136"/>
      <c r="R17" s="65">
        <v>7.97</v>
      </c>
      <c r="S17" s="65">
        <f t="shared" si="2"/>
        <v>2.8780910919102846E-2</v>
      </c>
      <c r="T17" s="66">
        <f t="shared" si="0"/>
        <v>3.1002945279801586</v>
      </c>
      <c r="U17" s="66">
        <f t="shared" si="3"/>
        <v>5.5627802430378692E-3</v>
      </c>
      <c r="V17" s="66">
        <f t="shared" si="4"/>
        <v>1.1314971160038865</v>
      </c>
      <c r="W17" s="66">
        <f t="shared" si="5"/>
        <v>3.6111556987581993E-3</v>
      </c>
      <c r="X17" s="43"/>
      <c r="Y17" s="43"/>
    </row>
    <row r="18" spans="2:25" x14ac:dyDescent="0.2">
      <c r="B18" s="46">
        <v>11</v>
      </c>
      <c r="C18" s="67">
        <v>52.4</v>
      </c>
      <c r="D18" s="137"/>
      <c r="E18" s="67">
        <v>122.1</v>
      </c>
      <c r="F18" s="67">
        <f t="shared" si="1"/>
        <v>0.35824584203216275</v>
      </c>
      <c r="O18" s="46">
        <v>11</v>
      </c>
      <c r="P18" s="67">
        <v>52.4</v>
      </c>
      <c r="Q18" s="136"/>
      <c r="R18" s="65">
        <v>6.89</v>
      </c>
      <c r="S18" s="65">
        <f t="shared" si="2"/>
        <v>2.5663219465478868E-2</v>
      </c>
      <c r="T18" s="66">
        <f t="shared" si="0"/>
        <v>3.0717247734602986</v>
      </c>
      <c r="U18" s="66">
        <f t="shared" si="3"/>
        <v>5.460837743352113E-3</v>
      </c>
      <c r="V18" s="66">
        <f t="shared" si="4"/>
        <v>1.1222392192992663</v>
      </c>
      <c r="W18" s="66">
        <f t="shared" si="5"/>
        <v>3.7247052925223319E-3</v>
      </c>
    </row>
    <row r="19" spans="2:25" x14ac:dyDescent="0.2">
      <c r="B19" s="46">
        <v>12</v>
      </c>
      <c r="C19" s="67">
        <v>55.4</v>
      </c>
      <c r="D19" s="137"/>
      <c r="E19" s="67">
        <v>124</v>
      </c>
      <c r="F19" s="67">
        <f t="shared" si="1"/>
        <v>0.36373066958946426</v>
      </c>
      <c r="O19" s="46">
        <v>12</v>
      </c>
      <c r="P19" s="67">
        <v>55.4</v>
      </c>
      <c r="Q19" s="136"/>
      <c r="R19" s="65">
        <v>5.76</v>
      </c>
      <c r="S19" s="65">
        <f t="shared" si="2"/>
        <v>2.2401190444557482E-2</v>
      </c>
      <c r="T19" s="66">
        <f t="shared" si="0"/>
        <v>3.0436767615279261</v>
      </c>
      <c r="U19" s="66">
        <f t="shared" si="3"/>
        <v>5.3616720503708755E-3</v>
      </c>
      <c r="V19" s="66">
        <f t="shared" si="4"/>
        <v>1.1130662456382603</v>
      </c>
      <c r="W19" s="66">
        <f t="shared" si="5"/>
        <v>3.8890955632912296E-3</v>
      </c>
    </row>
    <row r="20" spans="2:25" x14ac:dyDescent="0.2">
      <c r="B20" s="46">
        <v>13</v>
      </c>
      <c r="C20" s="67">
        <v>58.4</v>
      </c>
      <c r="D20" s="137"/>
      <c r="E20" s="67">
        <v>125.8</v>
      </c>
      <c r="F20" s="67">
        <f t="shared" si="1"/>
        <v>0.36892682201217092</v>
      </c>
      <c r="O20" s="46">
        <v>13</v>
      </c>
      <c r="P20" s="67">
        <v>58.4</v>
      </c>
      <c r="Q20" s="136"/>
      <c r="R20" s="66">
        <v>4.95</v>
      </c>
      <c r="S20" s="66">
        <f t="shared" si="2"/>
        <v>2.0062921854339499E-2</v>
      </c>
      <c r="T20" s="66">
        <f t="shared" si="0"/>
        <v>3.0161363293620878</v>
      </c>
      <c r="U20" s="66">
        <f t="shared" si="3"/>
        <v>5.2651832224755056E-3</v>
      </c>
      <c r="V20" s="66">
        <f t="shared" si="4"/>
        <v>1.1039766511672606</v>
      </c>
      <c r="W20" s="66">
        <f t="shared" si="5"/>
        <v>4.0531155261291918E-3</v>
      </c>
    </row>
    <row r="21" spans="2:25" x14ac:dyDescent="0.2">
      <c r="B21" s="46">
        <v>14</v>
      </c>
      <c r="C21" s="67">
        <v>61.4</v>
      </c>
      <c r="D21" s="137"/>
      <c r="E21" s="67">
        <v>127.1</v>
      </c>
      <c r="F21" s="67">
        <f t="shared" si="1"/>
        <v>0.37267959876190343</v>
      </c>
      <c r="O21" s="46">
        <v>14</v>
      </c>
      <c r="P21" s="67">
        <v>61.4</v>
      </c>
      <c r="Q21" s="136"/>
      <c r="R21" s="65">
        <v>4.41</v>
      </c>
      <c r="S21" s="65">
        <f t="shared" si="2"/>
        <v>1.8504076127527507E-2</v>
      </c>
      <c r="T21" s="66">
        <f t="shared" si="0"/>
        <v>2.9890898221491562</v>
      </c>
      <c r="U21" s="66">
        <f t="shared" si="3"/>
        <v>5.1712757742402894E-3</v>
      </c>
      <c r="V21" s="66">
        <f t="shared" si="4"/>
        <v>1.0949689337533113</v>
      </c>
      <c r="W21" s="66">
        <f t="shared" si="5"/>
        <v>4.1959356298248316E-3</v>
      </c>
      <c r="X21" s="43"/>
      <c r="Y21" s="43"/>
    </row>
    <row r="22" spans="2:25" x14ac:dyDescent="0.2">
      <c r="B22" s="46">
        <v>15</v>
      </c>
      <c r="C22" s="67">
        <v>64.400000000000006</v>
      </c>
      <c r="D22" s="137"/>
      <c r="E22" s="67">
        <v>128.5</v>
      </c>
      <c r="F22" s="67">
        <f t="shared" si="1"/>
        <v>0.37672105064623079</v>
      </c>
      <c r="O22" s="46">
        <v>15</v>
      </c>
      <c r="P22" s="67">
        <v>64.400000000000006</v>
      </c>
      <c r="Q22" s="136"/>
      <c r="R22" s="65">
        <v>3.9</v>
      </c>
      <c r="S22" s="65">
        <f t="shared" si="2"/>
        <v>1.703183294109396E-2</v>
      </c>
      <c r="T22" s="66">
        <f t="shared" si="0"/>
        <v>2.9625240705080733</v>
      </c>
      <c r="U22" s="66">
        <f t="shared" si="3"/>
        <v>5.0798584401103523E-3</v>
      </c>
      <c r="V22" s="66">
        <f t="shared" si="4"/>
        <v>1.0860416314942578</v>
      </c>
      <c r="W22" s="66">
        <f t="shared" si="5"/>
        <v>4.3671366515625545E-3</v>
      </c>
    </row>
    <row r="23" spans="2:25" x14ac:dyDescent="0.2">
      <c r="B23" s="46">
        <v>16</v>
      </c>
      <c r="C23" s="67">
        <v>67.400000000000006</v>
      </c>
      <c r="D23" s="137"/>
      <c r="E23" s="67">
        <v>130.19999999999999</v>
      </c>
      <c r="F23" s="67">
        <f t="shared" si="1"/>
        <v>0.3816285279343426</v>
      </c>
      <c r="O23" s="46">
        <v>16</v>
      </c>
      <c r="P23" s="67">
        <v>67.400000000000006</v>
      </c>
      <c r="Q23" s="136"/>
      <c r="R23" s="65">
        <v>3.36</v>
      </c>
      <c r="S23" s="65">
        <f t="shared" si="2"/>
        <v>1.5472987214281969E-2</v>
      </c>
      <c r="T23" s="66">
        <f t="shared" si="0"/>
        <v>2.9364263691087951</v>
      </c>
      <c r="U23" s="66">
        <f t="shared" si="3"/>
        <v>4.9908439525728704E-3</v>
      </c>
      <c r="V23" s="66">
        <f t="shared" si="4"/>
        <v>1.0771933212948099</v>
      </c>
      <c r="W23" s="66">
        <f t="shared" si="5"/>
        <v>4.6050557185363002E-3</v>
      </c>
    </row>
    <row r="24" spans="2:25" x14ac:dyDescent="0.2">
      <c r="B24" s="46">
        <v>17</v>
      </c>
      <c r="C24" s="67">
        <v>70.400000000000006</v>
      </c>
      <c r="D24" s="137"/>
      <c r="E24" s="67">
        <v>131.6</v>
      </c>
      <c r="F24" s="67">
        <f t="shared" si="1"/>
        <v>0.38566997981867007</v>
      </c>
      <c r="O24" s="46">
        <v>17</v>
      </c>
      <c r="P24" s="67">
        <v>70.400000000000006</v>
      </c>
      <c r="Q24" s="136"/>
      <c r="R24" s="65">
        <v>3</v>
      </c>
      <c r="S24" s="65">
        <f t="shared" si="2"/>
        <v>1.4433756729740645E-2</v>
      </c>
      <c r="T24" s="66">
        <f t="shared" si="0"/>
        <v>2.9107844564110033</v>
      </c>
      <c r="U24" s="66">
        <f t="shared" si="3"/>
        <v>4.9041488338145466E-3</v>
      </c>
      <c r="V24" s="66">
        <f t="shared" si="4"/>
        <v>1.0684226175050522</v>
      </c>
      <c r="W24" s="66">
        <f t="shared" si="5"/>
        <v>4.8112522432468812E-3</v>
      </c>
    </row>
    <row r="25" spans="2:25" x14ac:dyDescent="0.2">
      <c r="B25" s="46">
        <v>18</v>
      </c>
      <c r="C25" s="67">
        <v>73.400000000000006</v>
      </c>
      <c r="D25" s="137"/>
      <c r="E25" s="67">
        <v>132.5</v>
      </c>
      <c r="F25" s="67">
        <f t="shared" si="1"/>
        <v>0.38826805603002335</v>
      </c>
      <c r="O25" s="46">
        <v>18</v>
      </c>
      <c r="P25" s="67">
        <v>73.400000000000006</v>
      </c>
      <c r="Q25" s="136"/>
      <c r="R25" s="65">
        <v>2.63</v>
      </c>
      <c r="S25" s="65">
        <f t="shared" si="2"/>
        <v>1.3365658731739838E-2</v>
      </c>
      <c r="T25" s="66">
        <f t="shared" si="0"/>
        <v>2.8855864954552017</v>
      </c>
      <c r="U25" s="66">
        <f t="shared" si="3"/>
        <v>4.8196931999364128E-3</v>
      </c>
      <c r="V25" s="66">
        <f t="shared" si="4"/>
        <v>1.0597281706181436</v>
      </c>
      <c r="W25" s="66">
        <f t="shared" si="5"/>
        <v>5.0819995177718022E-3</v>
      </c>
    </row>
    <row r="26" spans="2:25" x14ac:dyDescent="0.2">
      <c r="B26" s="46">
        <v>19</v>
      </c>
      <c r="C26" s="67">
        <v>76.400000000000006</v>
      </c>
      <c r="D26" s="137"/>
      <c r="E26" s="67">
        <v>134.1</v>
      </c>
      <c r="F26" s="67">
        <f t="shared" si="1"/>
        <v>0.39288685818354036</v>
      </c>
      <c r="O26" s="46">
        <v>19</v>
      </c>
      <c r="P26" s="67">
        <v>76.400000000000006</v>
      </c>
      <c r="Q26" s="136"/>
      <c r="R26" s="65">
        <v>2.29</v>
      </c>
      <c r="S26" s="65">
        <f t="shared" si="2"/>
        <v>1.2384163274117474E-2</v>
      </c>
      <c r="T26" s="66">
        <f t="shared" si="0"/>
        <v>2.8608210556429698</v>
      </c>
      <c r="U26" s="66">
        <f t="shared" si="3"/>
        <v>4.7374005768683674E-3</v>
      </c>
      <c r="V26" s="66">
        <f t="shared" si="4"/>
        <v>1.0511086660241431</v>
      </c>
      <c r="W26" s="66">
        <f t="shared" si="5"/>
        <v>5.4079315607499885E-3</v>
      </c>
    </row>
    <row r="27" spans="2:25" x14ac:dyDescent="0.2">
      <c r="B27" s="46">
        <v>20</v>
      </c>
      <c r="C27" s="67">
        <v>79.400000000000006</v>
      </c>
      <c r="D27" s="137"/>
      <c r="E27" s="67">
        <v>137.19999999999999</v>
      </c>
      <c r="F27" s="67">
        <f t="shared" si="1"/>
        <v>0.40183578735597952</v>
      </c>
      <c r="O27" s="46">
        <v>20</v>
      </c>
      <c r="P27" s="67">
        <v>79.400000000000006</v>
      </c>
      <c r="Q27" s="136"/>
      <c r="R27" s="65">
        <v>1.94</v>
      </c>
      <c r="S27" s="65">
        <f t="shared" si="2"/>
        <v>1.1373800303035629E-2</v>
      </c>
      <c r="T27" s="66">
        <f t="shared" si="0"/>
        <v>2.8364770954474547</v>
      </c>
      <c r="U27" s="66">
        <f t="shared" si="3"/>
        <v>4.6571977271911537E-3</v>
      </c>
      <c r="V27" s="66">
        <f t="shared" si="4"/>
        <v>1.0425628228170876</v>
      </c>
      <c r="W27" s="66">
        <f t="shared" si="5"/>
        <v>5.8627836613585728E-3</v>
      </c>
    </row>
    <row r="28" spans="2:25" x14ac:dyDescent="0.2">
      <c r="B28" s="46">
        <v>21</v>
      </c>
      <c r="C28" s="67">
        <v>82.4</v>
      </c>
      <c r="D28" s="137"/>
      <c r="E28" s="67">
        <v>139.6</v>
      </c>
      <c r="F28" s="67">
        <f t="shared" si="1"/>
        <v>0.40876399058625507</v>
      </c>
      <c r="O28" s="46">
        <v>21</v>
      </c>
      <c r="P28" s="67">
        <v>82.4</v>
      </c>
      <c r="Q28" s="136"/>
      <c r="R28" s="65">
        <v>1.71</v>
      </c>
      <c r="S28" s="65">
        <f t="shared" si="2"/>
        <v>1.0709847493467558E-2</v>
      </c>
      <c r="T28" s="66">
        <f t="shared" si="0"/>
        <v>2.8125439459991566</v>
      </c>
      <c r="U28" s="66">
        <f t="shared" si="3"/>
        <v>4.5790144871334032E-3</v>
      </c>
      <c r="V28" s="66">
        <f t="shared" si="4"/>
        <v>1.0340893926526102</v>
      </c>
      <c r="W28" s="66">
        <f t="shared" si="5"/>
        <v>6.2630687096301508E-3</v>
      </c>
    </row>
    <row r="30" spans="2:25" ht="18" x14ac:dyDescent="0.2">
      <c r="B30" s="68" t="s">
        <v>62</v>
      </c>
      <c r="C30" s="68" t="s">
        <v>78</v>
      </c>
      <c r="D30" s="68" t="s">
        <v>63</v>
      </c>
      <c r="E30" s="68" t="s">
        <v>79</v>
      </c>
      <c r="F30" s="68" t="s">
        <v>39</v>
      </c>
      <c r="G30" s="68" t="s">
        <v>80</v>
      </c>
      <c r="O30" s="78" t="s">
        <v>73</v>
      </c>
      <c r="P30" s="78" t="s">
        <v>73</v>
      </c>
      <c r="Q30" s="78" t="s">
        <v>87</v>
      </c>
      <c r="R30" s="78" t="s">
        <v>70</v>
      </c>
      <c r="S30" s="78" t="s">
        <v>81</v>
      </c>
      <c r="T30" s="78" t="s">
        <v>41</v>
      </c>
      <c r="U30" s="78" t="s">
        <v>42</v>
      </c>
    </row>
    <row r="31" spans="2:25" ht="19" x14ac:dyDescent="0.2">
      <c r="B31" s="45" t="s">
        <v>66</v>
      </c>
      <c r="C31" s="45" t="s">
        <v>66</v>
      </c>
      <c r="D31" s="45" t="s">
        <v>66</v>
      </c>
      <c r="E31" s="45" t="s">
        <v>66</v>
      </c>
      <c r="F31" s="45" t="s">
        <v>67</v>
      </c>
      <c r="G31" s="45" t="s">
        <v>67</v>
      </c>
      <c r="O31" s="79" t="s">
        <v>72</v>
      </c>
      <c r="P31" s="79" t="s">
        <v>86</v>
      </c>
      <c r="Q31" s="79" t="s">
        <v>86</v>
      </c>
      <c r="R31" s="79" t="s">
        <v>71</v>
      </c>
      <c r="S31" s="79" t="s">
        <v>71</v>
      </c>
      <c r="T31" s="79" t="s">
        <v>71</v>
      </c>
      <c r="U31" s="79" t="s">
        <v>71</v>
      </c>
      <c r="V31" s="43"/>
      <c r="Y31" s="43"/>
    </row>
    <row r="32" spans="2:25" x14ac:dyDescent="0.2">
      <c r="B32" s="71">
        <v>0.43764525599999998</v>
      </c>
      <c r="C32" s="72">
        <v>1.5031196E-2</v>
      </c>
      <c r="D32" s="73">
        <v>100.74537170000001</v>
      </c>
      <c r="E32" s="73">
        <v>0.83334042200000003</v>
      </c>
      <c r="F32" s="75">
        <f>B32/D32</f>
        <v>4.3440730687184506E-3</v>
      </c>
      <c r="G32" s="74">
        <f>SQRT(1/D32^2 * C32^2 + (-B32/D32^2)^2 * E32^2)</f>
        <v>1.5346591318144009E-4</v>
      </c>
      <c r="O32" s="70">
        <f>2000*1.3806 * 10^(-23)*R32</f>
        <v>-6.9429030169606947E-21</v>
      </c>
      <c r="P32" s="69">
        <f>6242 * 10^18 *O32</f>
        <v>-43.337600631868654</v>
      </c>
      <c r="Q32" s="69">
        <f>2000*S32*1.3806 * 10^(-23) * 6242 * 10^18</f>
        <v>1.8819497470765774</v>
      </c>
      <c r="R32" s="80">
        <v>-0.25144513316531558</v>
      </c>
      <c r="S32" s="80">
        <v>1.0919088686606364E-2</v>
      </c>
      <c r="T32" s="80">
        <v>20.732799019140376</v>
      </c>
      <c r="U32" s="80">
        <v>0.60536222239050885</v>
      </c>
      <c r="V32" s="43"/>
      <c r="Y32" s="43"/>
    </row>
  </sheetData>
  <mergeCells count="4">
    <mergeCell ref="D8:D28"/>
    <mergeCell ref="Q8:Q28"/>
    <mergeCell ref="B6:B7"/>
    <mergeCell ref="O6:O7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199E-CF09-463E-8047-C637548A20AE}">
  <dimension ref="B4:Z44"/>
  <sheetViews>
    <sheetView showGridLines="0" tabSelected="1" zoomScale="125" zoomScaleNormal="125" workbookViewId="0">
      <selection activeCell="G3" sqref="G3"/>
    </sheetView>
  </sheetViews>
  <sheetFormatPr baseColWidth="10" defaultColWidth="11" defaultRowHeight="16" x14ac:dyDescent="0.2"/>
  <cols>
    <col min="5" max="7" width="11.6640625" bestFit="1" customWidth="1"/>
    <col min="8" max="8" width="15" bestFit="1" customWidth="1"/>
    <col min="10" max="10" width="12.1640625" bestFit="1" customWidth="1"/>
    <col min="11" max="11" width="15" bestFit="1" customWidth="1"/>
    <col min="14" max="14" width="17.1640625" bestFit="1" customWidth="1"/>
    <col min="15" max="15" width="12.83203125" bestFit="1" customWidth="1"/>
    <col min="16" max="16" width="15.33203125" bestFit="1" customWidth="1"/>
    <col min="17" max="17" width="14.6640625" bestFit="1" customWidth="1"/>
    <col min="18" max="18" width="11.6640625" bestFit="1" customWidth="1"/>
    <col min="19" max="19" width="13.5" bestFit="1" customWidth="1"/>
    <col min="20" max="20" width="11.6640625" bestFit="1" customWidth="1"/>
    <col min="21" max="21" width="12.6640625" bestFit="1" customWidth="1"/>
    <col min="22" max="22" width="15" bestFit="1" customWidth="1"/>
    <col min="23" max="23" width="12.83203125" bestFit="1" customWidth="1"/>
    <col min="24" max="24" width="12.1640625" bestFit="1" customWidth="1"/>
    <col min="25" max="25" width="15" bestFit="1" customWidth="1"/>
  </cols>
  <sheetData>
    <row r="4" spans="2:23" x14ac:dyDescent="0.2">
      <c r="B4" t="s">
        <v>75</v>
      </c>
      <c r="O4" t="s">
        <v>74</v>
      </c>
    </row>
    <row r="6" spans="2:23" ht="19" x14ac:dyDescent="0.2">
      <c r="B6" s="144" t="s">
        <v>61</v>
      </c>
      <c r="C6" s="82" t="s">
        <v>37</v>
      </c>
      <c r="D6" s="82" t="s">
        <v>38</v>
      </c>
      <c r="E6" s="82" t="s">
        <v>89</v>
      </c>
      <c r="F6" s="82" t="s">
        <v>90</v>
      </c>
      <c r="G6" s="82" t="s">
        <v>62</v>
      </c>
      <c r="H6" s="82" t="s">
        <v>78</v>
      </c>
      <c r="I6" s="82" t="s">
        <v>63</v>
      </c>
      <c r="J6" s="82" t="s">
        <v>79</v>
      </c>
      <c r="K6" s="82" t="s">
        <v>39</v>
      </c>
      <c r="L6" s="82" t="s">
        <v>91</v>
      </c>
      <c r="O6" s="142" t="s">
        <v>61</v>
      </c>
      <c r="P6" s="76" t="s">
        <v>37</v>
      </c>
      <c r="Q6" s="76" t="s">
        <v>38</v>
      </c>
      <c r="R6" s="76" t="s">
        <v>83</v>
      </c>
      <c r="S6" s="76" t="s">
        <v>82</v>
      </c>
      <c r="T6" s="76" t="s">
        <v>68</v>
      </c>
      <c r="U6" s="76" t="s">
        <v>84</v>
      </c>
      <c r="V6" s="76" t="s">
        <v>88</v>
      </c>
      <c r="W6" s="76" t="s">
        <v>85</v>
      </c>
    </row>
    <row r="7" spans="2:23" ht="22" x14ac:dyDescent="0.2">
      <c r="B7" s="144"/>
      <c r="C7" s="81" t="s">
        <v>64</v>
      </c>
      <c r="D7" s="81" t="s">
        <v>64</v>
      </c>
      <c r="E7" s="81" t="s">
        <v>64</v>
      </c>
      <c r="F7" s="81" t="s">
        <v>64</v>
      </c>
      <c r="G7" s="81" t="s">
        <v>66</v>
      </c>
      <c r="H7" s="81" t="s">
        <v>66</v>
      </c>
      <c r="I7" s="81" t="s">
        <v>66</v>
      </c>
      <c r="J7" s="81" t="s">
        <v>66</v>
      </c>
      <c r="K7" s="81" t="s">
        <v>92</v>
      </c>
      <c r="L7" s="81" t="s">
        <v>92</v>
      </c>
      <c r="O7" s="142"/>
      <c r="P7" s="77" t="s">
        <v>64</v>
      </c>
      <c r="Q7" s="77" t="s">
        <v>64</v>
      </c>
      <c r="R7" s="77" t="s">
        <v>65</v>
      </c>
      <c r="S7" s="77" t="s">
        <v>65</v>
      </c>
      <c r="T7" s="77" t="s">
        <v>69</v>
      </c>
      <c r="U7" s="77" t="s">
        <v>69</v>
      </c>
      <c r="V7" s="77" t="s">
        <v>98</v>
      </c>
      <c r="W7" s="77" t="s">
        <v>98</v>
      </c>
    </row>
    <row r="8" spans="2:23" ht="19" x14ac:dyDescent="0.2">
      <c r="B8" s="83">
        <v>1</v>
      </c>
      <c r="C8" s="84">
        <v>21.4</v>
      </c>
      <c r="D8" s="125">
        <f>1/SQRT(3)</f>
        <v>0.57735026918962584</v>
      </c>
      <c r="E8" s="84">
        <v>112.1</v>
      </c>
      <c r="F8" s="84">
        <f>(0.005*E8+0.1)/SQRT(3)</f>
        <v>0.3813398527997478</v>
      </c>
      <c r="G8" s="145">
        <v>0.43764525599999998</v>
      </c>
      <c r="H8" s="146">
        <v>1.5031196E-2</v>
      </c>
      <c r="I8" s="149">
        <v>100.74537170000001</v>
      </c>
      <c r="J8" s="149">
        <v>0.83334042200000003</v>
      </c>
      <c r="K8" s="152">
        <f>G8/I8</f>
        <v>4.3440730687184506E-3</v>
      </c>
      <c r="L8" s="152">
        <f>SQRT(1/I8^2 * H8^2 + (-G8/I8^2)^2 * J8^2)</f>
        <v>1.5346591318144009E-4</v>
      </c>
      <c r="O8" s="46">
        <v>1</v>
      </c>
      <c r="P8" s="67">
        <v>21.4</v>
      </c>
      <c r="Q8" s="136">
        <v>0.57999999999999996</v>
      </c>
      <c r="R8" s="65">
        <v>16.95</v>
      </c>
      <c r="S8" s="65">
        <f>(0.005*R8+0.01)/SQRT(3)</f>
        <v>5.4703938005717039E-2</v>
      </c>
      <c r="T8" s="66">
        <f t="shared" ref="T8:T28" si="0">1000/(273.15+P8)</f>
        <v>3.3950093362756752</v>
      </c>
      <c r="U8" s="66">
        <f>1000/(P8+273.5)^2*0.58</f>
        <v>6.6692722823549115E-3</v>
      </c>
      <c r="V8" s="66">
        <f t="shared" ref="V8:V28" si="1">LN(R8)</f>
        <v>2.8302678338264591</v>
      </c>
      <c r="W8" s="66">
        <f>1/R8*S8</f>
        <v>3.227370973788616E-3</v>
      </c>
    </row>
    <row r="9" spans="2:23" ht="19" x14ac:dyDescent="0.2">
      <c r="B9" s="83">
        <v>2</v>
      </c>
      <c r="C9" s="84">
        <v>25.4</v>
      </c>
      <c r="D9" s="125"/>
      <c r="E9" s="84">
        <v>113.2</v>
      </c>
      <c r="F9" s="84">
        <f t="shared" ref="F9:F28" si="2">(0.005*E9+0.1)/SQRT(3)</f>
        <v>0.38451527928029078</v>
      </c>
      <c r="G9" s="145"/>
      <c r="H9" s="147"/>
      <c r="I9" s="150"/>
      <c r="J9" s="150"/>
      <c r="K9" s="153"/>
      <c r="L9" s="153"/>
      <c r="O9" s="46">
        <v>2</v>
      </c>
      <c r="P9" s="67">
        <v>25.4</v>
      </c>
      <c r="Q9" s="136"/>
      <c r="R9" s="65">
        <v>15.7</v>
      </c>
      <c r="S9" s="65">
        <f t="shared" ref="S9:S28" si="3">(0.005*R9+0.01)/SQRT(3)</f>
        <v>5.1095498823281883E-2</v>
      </c>
      <c r="T9" s="66">
        <f t="shared" si="0"/>
        <v>3.3495226930162456</v>
      </c>
      <c r="U9" s="66">
        <f t="shared" ref="U9:U28" si="4">1000/(P9+273.5)^2*0.58</f>
        <v>6.4919649062286046E-3</v>
      </c>
      <c r="V9" s="66">
        <f t="shared" si="1"/>
        <v>2.7536607123542622</v>
      </c>
      <c r="W9" s="66">
        <f t="shared" ref="W9:W28" si="5">1/R9*S9</f>
        <v>3.2544903709096741E-3</v>
      </c>
    </row>
    <row r="10" spans="2:23" ht="19" x14ac:dyDescent="0.2">
      <c r="B10" s="83">
        <v>3</v>
      </c>
      <c r="C10" s="84">
        <v>28.4</v>
      </c>
      <c r="D10" s="125"/>
      <c r="E10" s="84">
        <v>114.3</v>
      </c>
      <c r="F10" s="84">
        <f t="shared" si="2"/>
        <v>0.3876907057608337</v>
      </c>
      <c r="G10" s="145"/>
      <c r="H10" s="147"/>
      <c r="I10" s="150"/>
      <c r="J10" s="150"/>
      <c r="K10" s="153"/>
      <c r="L10" s="153"/>
      <c r="O10" s="46">
        <v>3</v>
      </c>
      <c r="P10" s="67">
        <v>28.4</v>
      </c>
      <c r="Q10" s="136"/>
      <c r="R10" s="65">
        <v>13.9</v>
      </c>
      <c r="S10" s="65">
        <f t="shared" si="3"/>
        <v>4.5899346400575254E-2</v>
      </c>
      <c r="T10" s="66">
        <f t="shared" si="0"/>
        <v>3.3161996352180405</v>
      </c>
      <c r="U10" s="66">
        <f t="shared" si="4"/>
        <v>6.36358379923727E-3</v>
      </c>
      <c r="V10" s="66">
        <f t="shared" si="1"/>
        <v>2.631888840136646</v>
      </c>
      <c r="W10" s="66">
        <f t="shared" si="5"/>
        <v>3.3021112518399464E-3</v>
      </c>
    </row>
    <row r="11" spans="2:23" ht="19" x14ac:dyDescent="0.2">
      <c r="B11" s="83">
        <v>4</v>
      </c>
      <c r="C11" s="84">
        <v>31.4</v>
      </c>
      <c r="D11" s="125"/>
      <c r="E11" s="84">
        <v>115.4</v>
      </c>
      <c r="F11" s="84">
        <f t="shared" si="2"/>
        <v>0.39086613224137667</v>
      </c>
      <c r="G11" s="145"/>
      <c r="H11" s="147"/>
      <c r="I11" s="150"/>
      <c r="J11" s="150"/>
      <c r="K11" s="153"/>
      <c r="L11" s="153"/>
      <c r="O11" s="46">
        <v>4</v>
      </c>
      <c r="P11" s="67">
        <v>31.4</v>
      </c>
      <c r="Q11" s="136"/>
      <c r="R11" s="65">
        <v>12.7</v>
      </c>
      <c r="S11" s="65">
        <f t="shared" si="3"/>
        <v>4.2435244785437497E-2</v>
      </c>
      <c r="T11" s="66">
        <f t="shared" si="0"/>
        <v>3.2835330815957975</v>
      </c>
      <c r="U11" s="66">
        <f t="shared" si="4"/>
        <v>6.2389735554651748E-3</v>
      </c>
      <c r="V11" s="66">
        <f t="shared" si="1"/>
        <v>2.5416019934645457</v>
      </c>
      <c r="W11" s="66">
        <f t="shared" si="5"/>
        <v>3.3413578571210626E-3</v>
      </c>
    </row>
    <row r="12" spans="2:23" ht="19" x14ac:dyDescent="0.2">
      <c r="B12" s="83">
        <v>5</v>
      </c>
      <c r="C12" s="84">
        <v>34.4</v>
      </c>
      <c r="D12" s="125"/>
      <c r="E12" s="84">
        <v>116.1</v>
      </c>
      <c r="F12" s="84">
        <f t="shared" si="2"/>
        <v>0.39288685818354036</v>
      </c>
      <c r="G12" s="145"/>
      <c r="H12" s="147"/>
      <c r="I12" s="150"/>
      <c r="J12" s="150"/>
      <c r="K12" s="153"/>
      <c r="L12" s="153"/>
      <c r="O12" s="46">
        <v>5</v>
      </c>
      <c r="P12" s="67">
        <v>34.4</v>
      </c>
      <c r="Q12" s="136"/>
      <c r="R12" s="65">
        <v>12.54</v>
      </c>
      <c r="S12" s="65">
        <f t="shared" si="3"/>
        <v>4.197336457008579E-2</v>
      </c>
      <c r="T12" s="66">
        <f t="shared" si="0"/>
        <v>3.2515038205169895</v>
      </c>
      <c r="U12" s="66">
        <f t="shared" si="4"/>
        <v>6.1179879287878861E-3</v>
      </c>
      <c r="V12" s="66">
        <f t="shared" si="1"/>
        <v>2.5289235352047745</v>
      </c>
      <c r="W12" s="66">
        <f t="shared" si="5"/>
        <v>3.3471582591774953E-3</v>
      </c>
    </row>
    <row r="13" spans="2:23" ht="19" x14ac:dyDescent="0.2">
      <c r="B13" s="83">
        <v>6</v>
      </c>
      <c r="C13" s="84">
        <v>37.4</v>
      </c>
      <c r="D13" s="125"/>
      <c r="E13" s="84">
        <v>116.2</v>
      </c>
      <c r="F13" s="84">
        <f t="shared" si="2"/>
        <v>0.39317553331813521</v>
      </c>
      <c r="G13" s="145"/>
      <c r="H13" s="147"/>
      <c r="I13" s="150"/>
      <c r="J13" s="150"/>
      <c r="K13" s="153"/>
      <c r="L13" s="153"/>
      <c r="O13" s="46">
        <v>6</v>
      </c>
      <c r="P13" s="67">
        <v>37.4</v>
      </c>
      <c r="Q13" s="136"/>
      <c r="R13" s="65">
        <v>11.29</v>
      </c>
      <c r="S13" s="65">
        <f t="shared" si="3"/>
        <v>3.8364925387650635E-2</v>
      </c>
      <c r="T13" s="66">
        <f t="shared" si="0"/>
        <v>3.2200933827080989</v>
      </c>
      <c r="U13" s="66">
        <f t="shared" si="4"/>
        <v>6.0004876948102307E-3</v>
      </c>
      <c r="V13" s="66">
        <f t="shared" si="1"/>
        <v>2.4239173781615704</v>
      </c>
      <c r="W13" s="66">
        <f t="shared" si="5"/>
        <v>3.398133338144432E-3</v>
      </c>
    </row>
    <row r="14" spans="2:23" ht="19" x14ac:dyDescent="0.2">
      <c r="B14" s="83">
        <v>7</v>
      </c>
      <c r="C14" s="84">
        <v>40.4</v>
      </c>
      <c r="D14" s="125"/>
      <c r="E14" s="84">
        <v>117.7</v>
      </c>
      <c r="F14" s="84">
        <f t="shared" si="2"/>
        <v>0.39750566033705736</v>
      </c>
      <c r="G14" s="145"/>
      <c r="H14" s="147"/>
      <c r="I14" s="150"/>
      <c r="J14" s="150"/>
      <c r="K14" s="153"/>
      <c r="L14" s="153"/>
      <c r="O14" s="46">
        <v>7</v>
      </c>
      <c r="P14" s="67">
        <v>40.4</v>
      </c>
      <c r="Q14" s="136"/>
      <c r="R14" s="65">
        <v>9.86</v>
      </c>
      <c r="S14" s="65">
        <f t="shared" si="3"/>
        <v>3.423687096294481E-2</v>
      </c>
      <c r="T14" s="66">
        <f t="shared" si="0"/>
        <v>3.1892840057407117</v>
      </c>
      <c r="U14" s="66">
        <f t="shared" si="4"/>
        <v>5.8863402501552527E-3</v>
      </c>
      <c r="V14" s="66">
        <f t="shared" si="1"/>
        <v>2.2884861686145439</v>
      </c>
      <c r="W14" s="66">
        <f t="shared" si="5"/>
        <v>3.4722992863027197E-3</v>
      </c>
    </row>
    <row r="15" spans="2:23" ht="19" x14ac:dyDescent="0.2">
      <c r="B15" s="83">
        <v>8</v>
      </c>
      <c r="C15" s="84">
        <v>43.4</v>
      </c>
      <c r="D15" s="125"/>
      <c r="E15" s="84">
        <v>118.7</v>
      </c>
      <c r="F15" s="84">
        <f t="shared" si="2"/>
        <v>0.40039241168300549</v>
      </c>
      <c r="G15" s="145"/>
      <c r="H15" s="147"/>
      <c r="I15" s="150"/>
      <c r="J15" s="150"/>
      <c r="K15" s="153"/>
      <c r="L15" s="153"/>
      <c r="O15" s="46">
        <v>8</v>
      </c>
      <c r="P15" s="67">
        <v>43.4</v>
      </c>
      <c r="Q15" s="136"/>
      <c r="R15" s="65">
        <v>9</v>
      </c>
      <c r="S15" s="65">
        <f t="shared" si="3"/>
        <v>3.1754264805429422E-2</v>
      </c>
      <c r="T15" s="66">
        <f t="shared" si="0"/>
        <v>3.1590586005370405</v>
      </c>
      <c r="U15" s="66">
        <f t="shared" si="4"/>
        <v>5.7754192381803812E-3</v>
      </c>
      <c r="V15" s="66">
        <f t="shared" si="1"/>
        <v>2.1972245773362196</v>
      </c>
      <c r="W15" s="66">
        <f t="shared" si="5"/>
        <v>3.5282516450477132E-3</v>
      </c>
    </row>
    <row r="16" spans="2:23" ht="19" x14ac:dyDescent="0.2">
      <c r="B16" s="83">
        <v>9</v>
      </c>
      <c r="C16" s="84">
        <v>46.4</v>
      </c>
      <c r="D16" s="125"/>
      <c r="E16" s="84">
        <v>119.7</v>
      </c>
      <c r="F16" s="84">
        <f t="shared" si="2"/>
        <v>0.40327916302895361</v>
      </c>
      <c r="G16" s="145"/>
      <c r="H16" s="147"/>
      <c r="I16" s="150"/>
      <c r="J16" s="150"/>
      <c r="K16" s="153"/>
      <c r="L16" s="153"/>
      <c r="O16" s="46">
        <v>9</v>
      </c>
      <c r="P16" s="67">
        <v>46.4</v>
      </c>
      <c r="Q16" s="136"/>
      <c r="R16" s="65">
        <v>8.1999999999999993</v>
      </c>
      <c r="S16" s="65">
        <f t="shared" si="3"/>
        <v>2.9444863728670913E-2</v>
      </c>
      <c r="T16" s="66">
        <f t="shared" si="0"/>
        <v>3.1294007197621658</v>
      </c>
      <c r="U16" s="66">
        <f t="shared" si="4"/>
        <v>5.6676041991474951E-3</v>
      </c>
      <c r="V16" s="66">
        <f t="shared" si="1"/>
        <v>2.1041341542702074</v>
      </c>
      <c r="W16" s="66">
        <f t="shared" si="5"/>
        <v>3.5908370400818189E-3</v>
      </c>
    </row>
    <row r="17" spans="2:25" ht="19" x14ac:dyDescent="0.2">
      <c r="B17" s="83">
        <v>10</v>
      </c>
      <c r="C17" s="84">
        <v>49.4</v>
      </c>
      <c r="D17" s="125"/>
      <c r="E17" s="84">
        <v>120.7</v>
      </c>
      <c r="F17" s="84">
        <f t="shared" si="2"/>
        <v>0.40616591437490174</v>
      </c>
      <c r="G17" s="145"/>
      <c r="H17" s="147"/>
      <c r="I17" s="150"/>
      <c r="J17" s="150"/>
      <c r="K17" s="153"/>
      <c r="L17" s="153"/>
      <c r="O17" s="46">
        <v>10</v>
      </c>
      <c r="P17" s="67">
        <v>49.4</v>
      </c>
      <c r="Q17" s="136"/>
      <c r="R17" s="65">
        <v>7.97</v>
      </c>
      <c r="S17" s="65">
        <f t="shared" si="3"/>
        <v>2.8780910919102846E-2</v>
      </c>
      <c r="T17" s="66">
        <f t="shared" si="0"/>
        <v>3.1002945279801586</v>
      </c>
      <c r="U17" s="66">
        <f t="shared" si="4"/>
        <v>5.5627802430378692E-3</v>
      </c>
      <c r="V17" s="66">
        <f t="shared" si="1"/>
        <v>2.0756844928021239</v>
      </c>
      <c r="W17" s="66">
        <f t="shared" si="5"/>
        <v>3.6111556987581993E-3</v>
      </c>
      <c r="X17" s="43"/>
      <c r="Y17" s="43"/>
    </row>
    <row r="18" spans="2:25" ht="19" x14ac:dyDescent="0.2">
      <c r="B18" s="83">
        <v>11</v>
      </c>
      <c r="C18" s="84">
        <v>52.4</v>
      </c>
      <c r="D18" s="125"/>
      <c r="E18" s="84">
        <v>122.1</v>
      </c>
      <c r="F18" s="84">
        <f t="shared" si="2"/>
        <v>0.4102073662592291</v>
      </c>
      <c r="G18" s="145"/>
      <c r="H18" s="147"/>
      <c r="I18" s="150"/>
      <c r="J18" s="150"/>
      <c r="K18" s="153"/>
      <c r="L18" s="153"/>
      <c r="O18" s="46">
        <v>11</v>
      </c>
      <c r="P18" s="67">
        <v>52.4</v>
      </c>
      <c r="Q18" s="136"/>
      <c r="R18" s="65">
        <v>6.89</v>
      </c>
      <c r="S18" s="65">
        <f t="shared" si="3"/>
        <v>2.5663219465478868E-2</v>
      </c>
      <c r="T18" s="66">
        <f t="shared" si="0"/>
        <v>3.0717247734602986</v>
      </c>
      <c r="U18" s="66">
        <f t="shared" si="4"/>
        <v>5.460837743352113E-3</v>
      </c>
      <c r="V18" s="66">
        <f t="shared" si="1"/>
        <v>1.9300710850255671</v>
      </c>
      <c r="W18" s="66">
        <f t="shared" si="5"/>
        <v>3.7247052925223319E-3</v>
      </c>
    </row>
    <row r="19" spans="2:25" ht="19" x14ac:dyDescent="0.2">
      <c r="B19" s="83">
        <v>12</v>
      </c>
      <c r="C19" s="84">
        <v>55.4</v>
      </c>
      <c r="D19" s="125"/>
      <c r="E19" s="84">
        <v>124</v>
      </c>
      <c r="F19" s="84">
        <f t="shared" si="2"/>
        <v>0.41569219381653055</v>
      </c>
      <c r="G19" s="145"/>
      <c r="H19" s="147"/>
      <c r="I19" s="150"/>
      <c r="J19" s="150"/>
      <c r="K19" s="153"/>
      <c r="L19" s="153"/>
      <c r="O19" s="46">
        <v>12</v>
      </c>
      <c r="P19" s="67">
        <v>55.4</v>
      </c>
      <c r="Q19" s="136"/>
      <c r="R19" s="65">
        <v>5.76</v>
      </c>
      <c r="S19" s="65">
        <f t="shared" si="3"/>
        <v>2.2401190444557482E-2</v>
      </c>
      <c r="T19" s="66">
        <f t="shared" si="0"/>
        <v>3.0436767615279261</v>
      </c>
      <c r="U19" s="66">
        <f t="shared" si="4"/>
        <v>5.3616720503708755E-3</v>
      </c>
      <c r="V19" s="66">
        <f t="shared" si="1"/>
        <v>1.7509374747077999</v>
      </c>
      <c r="W19" s="66">
        <f t="shared" si="5"/>
        <v>3.8890955632912296E-3</v>
      </c>
    </row>
    <row r="20" spans="2:25" ht="19" x14ac:dyDescent="0.2">
      <c r="B20" s="83">
        <v>13</v>
      </c>
      <c r="C20" s="84">
        <v>58.4</v>
      </c>
      <c r="D20" s="125"/>
      <c r="E20" s="84">
        <v>125.8</v>
      </c>
      <c r="F20" s="84">
        <f t="shared" si="2"/>
        <v>0.42088834623923721</v>
      </c>
      <c r="G20" s="145"/>
      <c r="H20" s="147"/>
      <c r="I20" s="150"/>
      <c r="J20" s="150"/>
      <c r="K20" s="153"/>
      <c r="L20" s="153"/>
      <c r="O20" s="46">
        <v>13</v>
      </c>
      <c r="P20" s="67">
        <v>58.4</v>
      </c>
      <c r="Q20" s="136"/>
      <c r="R20" s="65">
        <v>4.95</v>
      </c>
      <c r="S20" s="65">
        <f>ROUNDUP((0.005*R20+0.01)/SQRT(3),3)</f>
        <v>2.1000000000000001E-2</v>
      </c>
      <c r="T20" s="66">
        <f t="shared" si="0"/>
        <v>3.0161363293620878</v>
      </c>
      <c r="U20" s="66">
        <f t="shared" si="4"/>
        <v>5.2651832224755056E-3</v>
      </c>
      <c r="V20" s="66">
        <f t="shared" si="1"/>
        <v>1.5993875765805989</v>
      </c>
      <c r="W20" s="66">
        <f t="shared" si="5"/>
        <v>4.2424242424242429E-3</v>
      </c>
    </row>
    <row r="21" spans="2:25" ht="19" x14ac:dyDescent="0.2">
      <c r="B21" s="83">
        <v>14</v>
      </c>
      <c r="C21" s="84">
        <v>61.4</v>
      </c>
      <c r="D21" s="125"/>
      <c r="E21" s="84">
        <v>127.1</v>
      </c>
      <c r="F21" s="84">
        <f t="shared" si="2"/>
        <v>0.42464112298896972</v>
      </c>
      <c r="G21" s="145"/>
      <c r="H21" s="147"/>
      <c r="I21" s="150"/>
      <c r="J21" s="150"/>
      <c r="K21" s="153"/>
      <c r="L21" s="153"/>
      <c r="O21" s="46">
        <v>14</v>
      </c>
      <c r="P21" s="67">
        <v>61.4</v>
      </c>
      <c r="Q21" s="136"/>
      <c r="R21" s="65">
        <v>4.41</v>
      </c>
      <c r="S21" s="65">
        <f t="shared" si="3"/>
        <v>1.8504076127527507E-2</v>
      </c>
      <c r="T21" s="66">
        <f t="shared" si="0"/>
        <v>2.9890898221491562</v>
      </c>
      <c r="U21" s="66">
        <f t="shared" si="4"/>
        <v>5.1712757742402894E-3</v>
      </c>
      <c r="V21" s="66">
        <f t="shared" si="1"/>
        <v>1.4838746894587547</v>
      </c>
      <c r="W21" s="66">
        <f t="shared" si="5"/>
        <v>4.1959356298248316E-3</v>
      </c>
      <c r="X21" s="43"/>
      <c r="Y21" s="43"/>
    </row>
    <row r="22" spans="2:25" ht="19" x14ac:dyDescent="0.2">
      <c r="B22" s="83">
        <v>15</v>
      </c>
      <c r="C22" s="84">
        <v>64.400000000000006</v>
      </c>
      <c r="D22" s="125"/>
      <c r="E22" s="84">
        <v>128.5</v>
      </c>
      <c r="F22" s="84">
        <f t="shared" si="2"/>
        <v>0.42868257487329714</v>
      </c>
      <c r="G22" s="145"/>
      <c r="H22" s="147"/>
      <c r="I22" s="150"/>
      <c r="J22" s="150"/>
      <c r="K22" s="153"/>
      <c r="L22" s="153"/>
      <c r="O22" s="46">
        <v>15</v>
      </c>
      <c r="P22" s="67">
        <v>64.400000000000006</v>
      </c>
      <c r="Q22" s="136"/>
      <c r="R22" s="65">
        <v>3.9</v>
      </c>
      <c r="S22" s="65">
        <f t="shared" si="3"/>
        <v>1.703183294109396E-2</v>
      </c>
      <c r="T22" s="66">
        <f t="shared" si="0"/>
        <v>2.9625240705080733</v>
      </c>
      <c r="U22" s="66">
        <f t="shared" si="4"/>
        <v>5.0798584401103523E-3</v>
      </c>
      <c r="V22" s="66">
        <f t="shared" si="1"/>
        <v>1.3609765531356006</v>
      </c>
      <c r="W22" s="66">
        <f t="shared" si="5"/>
        <v>4.3671366515625545E-3</v>
      </c>
    </row>
    <row r="23" spans="2:25" ht="19" x14ac:dyDescent="0.2">
      <c r="B23" s="83">
        <v>16</v>
      </c>
      <c r="C23" s="84">
        <v>67.400000000000006</v>
      </c>
      <c r="D23" s="125"/>
      <c r="E23" s="84">
        <v>130.19999999999999</v>
      </c>
      <c r="F23" s="84">
        <f t="shared" si="2"/>
        <v>0.43359005216140889</v>
      </c>
      <c r="G23" s="145"/>
      <c r="H23" s="147"/>
      <c r="I23" s="150"/>
      <c r="J23" s="150"/>
      <c r="K23" s="153"/>
      <c r="L23" s="153"/>
      <c r="O23" s="46">
        <v>16</v>
      </c>
      <c r="P23" s="67">
        <v>67.400000000000006</v>
      </c>
      <c r="Q23" s="136"/>
      <c r="R23" s="65">
        <v>3.36</v>
      </c>
      <c r="S23" s="65">
        <f t="shared" si="3"/>
        <v>1.5472987214281969E-2</v>
      </c>
      <c r="T23" s="66">
        <f t="shared" si="0"/>
        <v>2.9364263691087951</v>
      </c>
      <c r="U23" s="66">
        <f t="shared" si="4"/>
        <v>4.9908439525728704E-3</v>
      </c>
      <c r="V23" s="66">
        <f t="shared" si="1"/>
        <v>1.2119409739751128</v>
      </c>
      <c r="W23" s="66">
        <f t="shared" si="5"/>
        <v>4.6050557185363002E-3</v>
      </c>
    </row>
    <row r="24" spans="2:25" ht="19" x14ac:dyDescent="0.2">
      <c r="B24" s="83">
        <v>17</v>
      </c>
      <c r="C24" s="84">
        <v>70.400000000000006</v>
      </c>
      <c r="D24" s="125"/>
      <c r="E24" s="84">
        <v>131.6</v>
      </c>
      <c r="F24" s="84">
        <f t="shared" si="2"/>
        <v>0.43763150404573636</v>
      </c>
      <c r="G24" s="145"/>
      <c r="H24" s="147"/>
      <c r="I24" s="150"/>
      <c r="J24" s="150"/>
      <c r="K24" s="153"/>
      <c r="L24" s="153"/>
      <c r="O24" s="46">
        <v>17</v>
      </c>
      <c r="P24" s="67">
        <v>70.400000000000006</v>
      </c>
      <c r="Q24" s="136"/>
      <c r="R24" s="65">
        <v>3</v>
      </c>
      <c r="S24" s="65">
        <f t="shared" si="3"/>
        <v>1.4433756729740645E-2</v>
      </c>
      <c r="T24" s="66">
        <f t="shared" si="0"/>
        <v>2.9107844564110033</v>
      </c>
      <c r="U24" s="66">
        <f t="shared" si="4"/>
        <v>4.9041488338145466E-3</v>
      </c>
      <c r="V24" s="66">
        <f t="shared" si="1"/>
        <v>1.0986122886681098</v>
      </c>
      <c r="W24" s="66">
        <f t="shared" si="5"/>
        <v>4.8112522432468812E-3</v>
      </c>
    </row>
    <row r="25" spans="2:25" ht="19" x14ac:dyDescent="0.2">
      <c r="B25" s="83">
        <v>18</v>
      </c>
      <c r="C25" s="84">
        <v>73.400000000000006</v>
      </c>
      <c r="D25" s="125"/>
      <c r="E25" s="84">
        <v>132.5</v>
      </c>
      <c r="F25" s="84">
        <f t="shared" si="2"/>
        <v>0.44022958025708964</v>
      </c>
      <c r="G25" s="145"/>
      <c r="H25" s="147"/>
      <c r="I25" s="150"/>
      <c r="J25" s="150"/>
      <c r="K25" s="153"/>
      <c r="L25" s="153"/>
      <c r="O25" s="46">
        <v>18</v>
      </c>
      <c r="P25" s="67">
        <v>73.400000000000006</v>
      </c>
      <c r="Q25" s="136"/>
      <c r="R25" s="65">
        <v>2.63</v>
      </c>
      <c r="S25" s="65">
        <f t="shared" si="3"/>
        <v>1.3365658731739838E-2</v>
      </c>
      <c r="T25" s="66">
        <f t="shared" si="0"/>
        <v>2.8855864954552017</v>
      </c>
      <c r="U25" s="66">
        <f t="shared" si="4"/>
        <v>4.8196931999364128E-3</v>
      </c>
      <c r="V25" s="66">
        <f t="shared" si="1"/>
        <v>0.96698384618967315</v>
      </c>
      <c r="W25" s="66">
        <f t="shared" si="5"/>
        <v>5.0819995177718022E-3</v>
      </c>
    </row>
    <row r="26" spans="2:25" ht="19" x14ac:dyDescent="0.2">
      <c r="B26" s="83">
        <v>19</v>
      </c>
      <c r="C26" s="84">
        <v>76.400000000000006</v>
      </c>
      <c r="D26" s="125"/>
      <c r="E26" s="84">
        <v>134.1</v>
      </c>
      <c r="F26" s="84">
        <f t="shared" si="2"/>
        <v>0.44484838241060665</v>
      </c>
      <c r="G26" s="145"/>
      <c r="H26" s="147"/>
      <c r="I26" s="150"/>
      <c r="J26" s="150"/>
      <c r="K26" s="153"/>
      <c r="L26" s="153"/>
      <c r="O26" s="46">
        <v>19</v>
      </c>
      <c r="P26" s="67">
        <v>76.400000000000006</v>
      </c>
      <c r="Q26" s="136"/>
      <c r="R26" s="65">
        <v>2.29</v>
      </c>
      <c r="S26" s="65">
        <f t="shared" si="3"/>
        <v>1.2384163274117474E-2</v>
      </c>
      <c r="T26" s="66">
        <f t="shared" si="0"/>
        <v>2.8608210556429698</v>
      </c>
      <c r="U26" s="66">
        <f t="shared" si="4"/>
        <v>4.7374005768683674E-3</v>
      </c>
      <c r="V26" s="66">
        <f t="shared" si="1"/>
        <v>0.82855181756614826</v>
      </c>
      <c r="W26" s="66">
        <f t="shared" si="5"/>
        <v>5.4079315607499885E-3</v>
      </c>
    </row>
    <row r="27" spans="2:25" ht="19" x14ac:dyDescent="0.2">
      <c r="B27" s="83">
        <v>20</v>
      </c>
      <c r="C27" s="84">
        <v>79.400000000000006</v>
      </c>
      <c r="D27" s="125"/>
      <c r="E27" s="84">
        <v>137.19999999999999</v>
      </c>
      <c r="F27" s="84">
        <f t="shared" si="2"/>
        <v>0.45379731158304581</v>
      </c>
      <c r="G27" s="145"/>
      <c r="H27" s="147"/>
      <c r="I27" s="150"/>
      <c r="J27" s="150"/>
      <c r="K27" s="153"/>
      <c r="L27" s="153"/>
      <c r="O27" s="46">
        <v>20</v>
      </c>
      <c r="P27" s="67">
        <v>79.400000000000006</v>
      </c>
      <c r="Q27" s="136"/>
      <c r="R27" s="65">
        <v>1.94</v>
      </c>
      <c r="S27" s="65">
        <f t="shared" si="3"/>
        <v>1.1373800303035629E-2</v>
      </c>
      <c r="T27" s="66">
        <f t="shared" si="0"/>
        <v>2.8364770954474547</v>
      </c>
      <c r="U27" s="66">
        <f t="shared" si="4"/>
        <v>4.6571977271911537E-3</v>
      </c>
      <c r="V27" s="66">
        <f t="shared" si="1"/>
        <v>0.66268797307523675</v>
      </c>
      <c r="W27" s="66">
        <f t="shared" si="5"/>
        <v>5.8627836613585728E-3</v>
      </c>
    </row>
    <row r="28" spans="2:25" ht="19" x14ac:dyDescent="0.2">
      <c r="B28" s="83">
        <v>21</v>
      </c>
      <c r="C28" s="84">
        <v>82.4</v>
      </c>
      <c r="D28" s="125"/>
      <c r="E28" s="84">
        <v>139.6</v>
      </c>
      <c r="F28" s="84">
        <f t="shared" si="2"/>
        <v>0.46072551481332136</v>
      </c>
      <c r="G28" s="145"/>
      <c r="H28" s="148"/>
      <c r="I28" s="151"/>
      <c r="J28" s="151"/>
      <c r="K28" s="154"/>
      <c r="L28" s="154"/>
      <c r="O28" s="46">
        <v>21</v>
      </c>
      <c r="P28" s="67">
        <v>82.4</v>
      </c>
      <c r="Q28" s="136"/>
      <c r="R28" s="65">
        <v>1.71</v>
      </c>
      <c r="S28" s="65">
        <f t="shared" si="3"/>
        <v>1.0709847493467558E-2</v>
      </c>
      <c r="T28" s="66">
        <f t="shared" si="0"/>
        <v>2.8125439459991566</v>
      </c>
      <c r="U28" s="66">
        <f t="shared" si="4"/>
        <v>4.5790144871334032E-3</v>
      </c>
      <c r="V28" s="66">
        <f t="shared" si="1"/>
        <v>0.53649337051456847</v>
      </c>
      <c r="W28" s="66">
        <f t="shared" si="5"/>
        <v>6.2630687096301508E-3</v>
      </c>
    </row>
    <row r="30" spans="2:25" x14ac:dyDescent="0.2">
      <c r="O30" s="76" t="s">
        <v>73</v>
      </c>
      <c r="P30" s="76" t="s">
        <v>73</v>
      </c>
      <c r="Q30" s="76" t="s">
        <v>87</v>
      </c>
      <c r="R30" s="76" t="s">
        <v>70</v>
      </c>
      <c r="S30" s="76" t="s">
        <v>81</v>
      </c>
      <c r="T30" s="76" t="s">
        <v>41</v>
      </c>
      <c r="U30" s="76" t="s">
        <v>42</v>
      </c>
    </row>
    <row r="31" spans="2:25" x14ac:dyDescent="0.2">
      <c r="I31" t="s">
        <v>99</v>
      </c>
      <c r="J31">
        <f>1.6022*10^(-19)</f>
        <v>1.6022000000000001E-19</v>
      </c>
      <c r="O31" s="77" t="s">
        <v>72</v>
      </c>
      <c r="P31" s="77" t="s">
        <v>86</v>
      </c>
      <c r="Q31" s="77" t="s">
        <v>86</v>
      </c>
      <c r="R31" s="77" t="s">
        <v>71</v>
      </c>
      <c r="S31" s="77" t="s">
        <v>71</v>
      </c>
      <c r="T31" s="77" t="s">
        <v>71</v>
      </c>
      <c r="U31" s="77" t="s">
        <v>71</v>
      </c>
      <c r="V31" s="43"/>
      <c r="Y31" s="43"/>
    </row>
    <row r="32" spans="2:25" x14ac:dyDescent="0.2">
      <c r="I32" t="s">
        <v>100</v>
      </c>
      <c r="J32">
        <f>1/J31</f>
        <v>6.2414180501810012E+18</v>
      </c>
      <c r="O32" s="46">
        <f>2000*1.380649 * 10^(-23)*R32</f>
        <v>1.1059741729253579E-19</v>
      </c>
      <c r="P32" s="65">
        <f>6.242 * 10^18 *O32</f>
        <v>0.69034907874000839</v>
      </c>
      <c r="Q32" s="65">
        <f>2000*S32*1.3806 * 10^(-23) * 6.242 * 10^18</f>
        <v>2.5761720182793196E-2</v>
      </c>
      <c r="R32" s="85">
        <v>4.0052691630000004</v>
      </c>
      <c r="S32" s="67">
        <v>0.149469723</v>
      </c>
      <c r="T32" s="67">
        <v>-10.54349882</v>
      </c>
      <c r="U32" s="67">
        <v>0.46137910999999998</v>
      </c>
      <c r="V32" s="43"/>
      <c r="Y32" s="43"/>
    </row>
    <row r="35" spans="15:26" x14ac:dyDescent="0.2">
      <c r="O35">
        <f>2000*S32*1.38065*10^(-23)</f>
        <v>4.1273074611989998E-21</v>
      </c>
      <c r="P35">
        <f>O35*J32</f>
        <v>2.5760251286974161E-2</v>
      </c>
    </row>
    <row r="39" spans="15:26" x14ac:dyDescent="0.2">
      <c r="X39" s="143" t="s">
        <v>95</v>
      </c>
      <c r="Y39" s="143"/>
    </row>
    <row r="40" spans="15:26" x14ac:dyDescent="0.2">
      <c r="W40" t="s">
        <v>93</v>
      </c>
      <c r="X40" cm="1">
        <f t="array" ref="X40:Y44">LINEST(V8:V28,T8:T28,1,1)</f>
        <v>4.0052691630341259</v>
      </c>
      <c r="Y40">
        <v>-10.543498818186059</v>
      </c>
      <c r="Z40" t="s">
        <v>94</v>
      </c>
    </row>
    <row r="41" spans="15:26" x14ac:dyDescent="0.2">
      <c r="W41" t="s">
        <v>96</v>
      </c>
      <c r="X41">
        <v>0.14946972307451914</v>
      </c>
      <c r="Y41">
        <v>0.46137910960291656</v>
      </c>
      <c r="Z41" t="s">
        <v>97</v>
      </c>
    </row>
    <row r="42" spans="15:26" x14ac:dyDescent="0.2">
      <c r="X42">
        <v>0.97422169004481241</v>
      </c>
      <c r="Y42">
        <v>0.11887784183408727</v>
      </c>
    </row>
    <row r="43" spans="15:26" x14ac:dyDescent="0.2">
      <c r="X43">
        <v>718.05374918018811</v>
      </c>
      <c r="Y43">
        <v>19</v>
      </c>
    </row>
    <row r="44" spans="15:26" x14ac:dyDescent="0.2">
      <c r="X44">
        <v>10.147493418673752</v>
      </c>
      <c r="Y44">
        <v>0.26850688430347508</v>
      </c>
    </row>
  </sheetData>
  <mergeCells count="11">
    <mergeCell ref="X39:Y39"/>
    <mergeCell ref="B6:B7"/>
    <mergeCell ref="O6:O7"/>
    <mergeCell ref="D8:D28"/>
    <mergeCell ref="Q8:Q28"/>
    <mergeCell ref="G8:G28"/>
    <mergeCell ref="H8:H28"/>
    <mergeCell ref="I8:I28"/>
    <mergeCell ref="J8:J28"/>
    <mergeCell ref="K8:K28"/>
    <mergeCell ref="L8:L28"/>
  </mergeCells>
  <pageMargins left="0.7" right="0.7" top="0.75" bottom="0.75" header="0.3" footer="0.3"/>
  <ignoredErrors>
    <ignoredError sqref="S20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prad</vt:lpstr>
      <vt:lpstr>termometr</vt:lpstr>
      <vt:lpstr>DoLatexa</vt:lpstr>
      <vt:lpstr>megatron</vt:lpstr>
      <vt:lpstr>termoGRZALA</vt:lpstr>
      <vt:lpstr>GRZAŁA</vt:lpstr>
      <vt:lpstr>CO NA GRZAŁE WARIACIE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Łyskawa (275462)</dc:creator>
  <cp:lastModifiedBy>Aleksander Łyskawa (275462)</cp:lastModifiedBy>
  <dcterms:created xsi:type="dcterms:W3CDTF">2023-10-10T16:51:31Z</dcterms:created>
  <dcterms:modified xsi:type="dcterms:W3CDTF">2023-11-19T16:20:01Z</dcterms:modified>
</cp:coreProperties>
</file>