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ytran/Desktop/"/>
    </mc:Choice>
  </mc:AlternateContent>
  <xr:revisionPtr revIDLastSave="0" documentId="8_{5F68994A-8DA3-694A-B074-164BAAD9CFD5}" xr6:coauthVersionLast="46" xr6:coauthVersionMax="46" xr10:uidLastSave="{00000000-0000-0000-0000-000000000000}"/>
  <bookViews>
    <workbookView xWindow="340" yWindow="460" windowWidth="28140" windowHeight="16600" tabRatio="727" xr2:uid="{00000000-000D-0000-FFFF-FFFF00000000}"/>
  </bookViews>
  <sheets>
    <sheet name="Income" sheetId="8" r:id="rId1"/>
    <sheet name="Depreciation" sheetId="9" r:id="rId2"/>
    <sheet name="Balance" sheetId="10" r:id="rId3"/>
    <sheet name="CashFlowStatement" sheetId="11" r:id="rId4"/>
  </sheets>
  <calcPr calcId="191029" iterate="1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0" l="1"/>
  <c r="E6" i="10" s="1"/>
  <c r="F6" i="10" s="1"/>
  <c r="C6" i="10"/>
  <c r="E3" i="11"/>
  <c r="D3" i="11"/>
  <c r="C3" i="11"/>
  <c r="B3" i="11"/>
  <c r="B8" i="10"/>
  <c r="C8" i="10"/>
  <c r="C14" i="10" s="1"/>
  <c r="F38" i="10"/>
  <c r="E38" i="10"/>
  <c r="D38" i="10"/>
  <c r="C38" i="10"/>
  <c r="C19" i="10" s="1"/>
  <c r="B9" i="11" s="1"/>
  <c r="C29" i="10"/>
  <c r="C22" i="10"/>
  <c r="E20" i="11"/>
  <c r="D20" i="11"/>
  <c r="C20" i="11"/>
  <c r="B20" i="11"/>
  <c r="E19" i="11"/>
  <c r="D19" i="11"/>
  <c r="C19" i="11"/>
  <c r="E18" i="11"/>
  <c r="D18" i="11"/>
  <c r="C18" i="11"/>
  <c r="B19" i="11"/>
  <c r="B18" i="11"/>
  <c r="E13" i="11"/>
  <c r="D13" i="11"/>
  <c r="C13" i="11"/>
  <c r="B13" i="11"/>
  <c r="E6" i="11"/>
  <c r="D6" i="11"/>
  <c r="C6" i="11"/>
  <c r="B6" i="11"/>
  <c r="B28" i="8"/>
  <c r="C46" i="10"/>
  <c r="D22" i="10"/>
  <c r="C13" i="9"/>
  <c r="C11" i="10" s="1"/>
  <c r="D11" i="10" s="1"/>
  <c r="E11" i="10" s="1"/>
  <c r="F11" i="10" s="1"/>
  <c r="C10" i="10"/>
  <c r="B14" i="10"/>
  <c r="B34" i="10" s="1"/>
  <c r="B24" i="10"/>
  <c r="B32" i="10"/>
  <c r="C28" i="8"/>
  <c r="D28" i="8"/>
  <c r="D46" i="10"/>
  <c r="E46" i="10"/>
  <c r="E22" i="10"/>
  <c r="F22" i="10" s="1"/>
  <c r="F46" i="10" s="1"/>
  <c r="E28" i="8" s="1"/>
  <c r="F19" i="10"/>
  <c r="D18" i="10"/>
  <c r="D20" i="10" s="1"/>
  <c r="D24" i="10" s="1"/>
  <c r="F7" i="10"/>
  <c r="E19" i="10"/>
  <c r="D9" i="11" s="1"/>
  <c r="D19" i="10"/>
  <c r="B30" i="10"/>
  <c r="B20" i="10"/>
  <c r="B12" i="10"/>
  <c r="C10" i="9"/>
  <c r="B23" i="8"/>
  <c r="B24" i="8" s="1"/>
  <c r="B26" i="8" s="1"/>
  <c r="E23" i="8"/>
  <c r="E24" i="8" s="1"/>
  <c r="E26" i="8" s="1"/>
  <c r="D23" i="8"/>
  <c r="C23" i="8"/>
  <c r="D24" i="8"/>
  <c r="D26" i="8" s="1"/>
  <c r="F13" i="9"/>
  <c r="E13" i="9"/>
  <c r="D13" i="9"/>
  <c r="F12" i="9"/>
  <c r="E12" i="9"/>
  <c r="F11" i="9"/>
  <c r="E11" i="9"/>
  <c r="D11" i="9"/>
  <c r="C11" i="9"/>
  <c r="F10" i="9"/>
  <c r="E10" i="9"/>
  <c r="D10" i="9"/>
  <c r="E7" i="9"/>
  <c r="D7" i="9"/>
  <c r="C7" i="9"/>
  <c r="B20" i="8"/>
  <c r="B17" i="8"/>
  <c r="B16" i="8"/>
  <c r="B11" i="8"/>
  <c r="B5" i="8"/>
  <c r="C24" i="8"/>
  <c r="C26" i="8" s="1"/>
  <c r="E22" i="8"/>
  <c r="D22" i="8"/>
  <c r="C22" i="8"/>
  <c r="B22" i="8"/>
  <c r="E21" i="8"/>
  <c r="D21" i="8"/>
  <c r="C21" i="8"/>
  <c r="B21" i="8"/>
  <c r="E20" i="8"/>
  <c r="D20" i="8"/>
  <c r="C20" i="8"/>
  <c r="E17" i="8"/>
  <c r="D17" i="8"/>
  <c r="C17" i="8"/>
  <c r="E16" i="8"/>
  <c r="D16" i="8"/>
  <c r="C16" i="8"/>
  <c r="E14" i="8"/>
  <c r="D14" i="8"/>
  <c r="C14" i="8"/>
  <c r="B14" i="8"/>
  <c r="B13" i="8"/>
  <c r="E13" i="8"/>
  <c r="D13" i="8"/>
  <c r="C13" i="8"/>
  <c r="E12" i="8"/>
  <c r="D12" i="8"/>
  <c r="C12" i="8"/>
  <c r="E11" i="8"/>
  <c r="D11" i="8"/>
  <c r="C11" i="8"/>
  <c r="B12" i="8"/>
  <c r="C8" i="8"/>
  <c r="D8" i="8"/>
  <c r="E8" i="8"/>
  <c r="C6" i="8"/>
  <c r="E5" i="8"/>
  <c r="E7" i="8" s="1"/>
  <c r="D5" i="8"/>
  <c r="D7" i="8" s="1"/>
  <c r="C5" i="8"/>
  <c r="C7" i="8" s="1"/>
  <c r="B7" i="8"/>
  <c r="B8" i="8" s="1"/>
  <c r="B6" i="8"/>
  <c r="E9" i="11" l="1"/>
  <c r="C7" i="10"/>
  <c r="B7" i="11" s="1"/>
  <c r="C18" i="10"/>
  <c r="C8" i="11" s="1"/>
  <c r="C9" i="11"/>
  <c r="C12" i="10"/>
  <c r="D10" i="10"/>
  <c r="E10" i="10" s="1"/>
  <c r="E12" i="10" s="1"/>
  <c r="D7" i="10"/>
  <c r="E18" i="10"/>
  <c r="F18" i="10"/>
  <c r="E7" i="10"/>
  <c r="F10" i="10"/>
  <c r="F12" i="10" s="1"/>
  <c r="C30" i="8"/>
  <c r="C37" i="8"/>
  <c r="B37" i="8"/>
  <c r="B30" i="8"/>
  <c r="D37" i="8"/>
  <c r="D30" i="8"/>
  <c r="E37" i="8"/>
  <c r="E30" i="8"/>
  <c r="D6" i="8"/>
  <c r="E6" i="8"/>
  <c r="B8" i="11" l="1"/>
  <c r="B10" i="11" s="1"/>
  <c r="B15" i="11" s="1"/>
  <c r="B22" i="11" s="1"/>
  <c r="C20" i="10"/>
  <c r="C24" i="10" s="1"/>
  <c r="E7" i="11"/>
  <c r="F20" i="10"/>
  <c r="F24" i="10" s="1"/>
  <c r="E8" i="11"/>
  <c r="E20" i="10"/>
  <c r="E24" i="10" s="1"/>
  <c r="D8" i="11"/>
  <c r="D7" i="11"/>
  <c r="C7" i="11"/>
  <c r="C10" i="11" s="1"/>
  <c r="C15" i="11" s="1"/>
  <c r="C22" i="11" s="1"/>
  <c r="D12" i="10"/>
  <c r="E32" i="8"/>
  <c r="E34" i="8" s="1"/>
  <c r="E35" i="8" s="1"/>
  <c r="D32" i="8"/>
  <c r="D34" i="8" s="1"/>
  <c r="D35" i="8" s="1"/>
  <c r="B32" i="8"/>
  <c r="B34" i="8" s="1"/>
  <c r="C32" i="8"/>
  <c r="C34" i="8" s="1"/>
  <c r="C35" i="8" s="1"/>
  <c r="E10" i="11" l="1"/>
  <c r="E15" i="11" s="1"/>
  <c r="E22" i="11" s="1"/>
  <c r="D10" i="11"/>
  <c r="D15" i="11" s="1"/>
  <c r="D22" i="11" s="1"/>
  <c r="D8" i="10"/>
  <c r="C30" i="10"/>
  <c r="C32" i="10" s="1"/>
  <c r="D29" i="10"/>
  <c r="E29" i="10" s="1"/>
  <c r="B35" i="8"/>
  <c r="C34" i="10" l="1"/>
  <c r="E8" i="10"/>
  <c r="D14" i="10"/>
  <c r="D30" i="10"/>
  <c r="D32" i="10" s="1"/>
  <c r="D34" i="10" l="1"/>
  <c r="E14" i="10"/>
  <c r="F29" i="10"/>
  <c r="F30" i="10" s="1"/>
  <c r="F32" i="10" s="1"/>
  <c r="E30" i="10"/>
  <c r="E32" i="10" s="1"/>
  <c r="F8" i="10" l="1"/>
  <c r="F14" i="10" s="1"/>
  <c r="F34" i="10" s="1"/>
  <c r="E34" i="10"/>
</calcChain>
</file>

<file path=xl/sharedStrings.xml><?xml version="1.0" encoding="utf-8"?>
<sst xmlns="http://schemas.openxmlformats.org/spreadsheetml/2006/main" count="122" uniqueCount="96">
  <si>
    <t>Retained Earnings</t>
  </si>
  <si>
    <t>Long Term Debt</t>
  </si>
  <si>
    <t>EQUITY</t>
  </si>
  <si>
    <t>ASSETS</t>
  </si>
  <si>
    <t>LIABILITIES</t>
  </si>
  <si>
    <t>Accounts Payable</t>
  </si>
  <si>
    <t>Year 1</t>
  </si>
  <si>
    <t>Year 2</t>
  </si>
  <si>
    <t>Year 3</t>
  </si>
  <si>
    <t>Year 4</t>
  </si>
  <si>
    <t>Fixed Assets</t>
  </si>
  <si>
    <t>Accumulated Depreciation</t>
  </si>
  <si>
    <t>Total Current Assets</t>
  </si>
  <si>
    <t>Total Assets</t>
  </si>
  <si>
    <t>Deferred Revenue</t>
  </si>
  <si>
    <t>Total Liabilities</t>
  </si>
  <si>
    <t>Total Shareholders Equity</t>
  </si>
  <si>
    <t>Dec 31, Year 0</t>
  </si>
  <si>
    <t>Balance Sheet</t>
  </si>
  <si>
    <t>Historicals</t>
  </si>
  <si>
    <t>Capex &amp; Depreciation</t>
  </si>
  <si>
    <t>ASSUMPTIONS</t>
  </si>
  <si>
    <t>Revenue</t>
  </si>
  <si>
    <t>New Customers</t>
  </si>
  <si>
    <t>Discounts</t>
  </si>
  <si>
    <t>COGS</t>
  </si>
  <si>
    <t>Product</t>
  </si>
  <si>
    <t>Fulfillment</t>
  </si>
  <si>
    <t>Merchant Services</t>
  </si>
  <si>
    <t>Operating Expenses</t>
  </si>
  <si>
    <t>Personnel</t>
  </si>
  <si>
    <t>Marketing</t>
  </si>
  <si>
    <t>Other</t>
  </si>
  <si>
    <t>Depreciation</t>
  </si>
  <si>
    <t>other model</t>
  </si>
  <si>
    <t>Interest</t>
  </si>
  <si>
    <t>Tax Rate</t>
  </si>
  <si>
    <t>Gross Revenue</t>
  </si>
  <si>
    <t>Net Revenue</t>
  </si>
  <si>
    <t>Total COGS</t>
  </si>
  <si>
    <t>GM %</t>
  </si>
  <si>
    <t>Total OPEX</t>
  </si>
  <si>
    <t>Taxes</t>
  </si>
  <si>
    <t>Net Income</t>
  </si>
  <si>
    <t>NI %</t>
  </si>
  <si>
    <t>Capex</t>
  </si>
  <si>
    <t>Servers</t>
  </si>
  <si>
    <t>Custom Software</t>
  </si>
  <si>
    <t>Forklift</t>
  </si>
  <si>
    <t>Total Capex</t>
  </si>
  <si>
    <t>Total D&amp;A</t>
  </si>
  <si>
    <t>Interest Rate</t>
  </si>
  <si>
    <t>Refunds</t>
  </si>
  <si>
    <t>Cost of Goods Sold</t>
  </si>
  <si>
    <t>Gross Margin</t>
  </si>
  <si>
    <t>Operating Income</t>
  </si>
  <si>
    <t>EBITDA</t>
  </si>
  <si>
    <t>Net Borrowing</t>
  </si>
  <si>
    <t>Debt Payments</t>
  </si>
  <si>
    <t>Operating Activities</t>
  </si>
  <si>
    <t>Investing Activities</t>
  </si>
  <si>
    <t>Financing Activities</t>
  </si>
  <si>
    <t>Operating Cash Flow</t>
  </si>
  <si>
    <t>Free Cash Flow</t>
  </si>
  <si>
    <t>Debt Repayment</t>
  </si>
  <si>
    <t>Net Cash Flow</t>
  </si>
  <si>
    <t>Income statement</t>
  </si>
  <si>
    <t>Average order value AOV</t>
  </si>
  <si>
    <t>Refunds (% of Rev)</t>
  </si>
  <si>
    <t>Discount</t>
  </si>
  <si>
    <t>Merchant services</t>
  </si>
  <si>
    <t xml:space="preserve">Other </t>
  </si>
  <si>
    <t xml:space="preserve">Personnel </t>
  </si>
  <si>
    <t>NI before tax</t>
  </si>
  <si>
    <t>Useful Life</t>
  </si>
  <si>
    <t>Cash</t>
  </si>
  <si>
    <t>Account Receiveable</t>
  </si>
  <si>
    <t>Net fixed assets</t>
  </si>
  <si>
    <t>Deffered Revenue</t>
  </si>
  <si>
    <t>Total Current Liabilities</t>
  </si>
  <si>
    <t>Common stock</t>
  </si>
  <si>
    <t>Liabilities&amp;Equity</t>
  </si>
  <si>
    <t>Account Payable</t>
  </si>
  <si>
    <t>Account Receivables (of Revenue)</t>
  </si>
  <si>
    <t>Interest Payment</t>
  </si>
  <si>
    <t>Balance check</t>
  </si>
  <si>
    <t>Cash flow statement</t>
  </si>
  <si>
    <t>Net income</t>
  </si>
  <si>
    <t xml:space="preserve">Year 2 </t>
  </si>
  <si>
    <t xml:space="preserve">Year 3 </t>
  </si>
  <si>
    <t>Change in account receivable</t>
  </si>
  <si>
    <t>Change in account payable</t>
  </si>
  <si>
    <t>Change in defferred revenue</t>
  </si>
  <si>
    <t>CAPEX</t>
  </si>
  <si>
    <t>Net borrowings</t>
  </si>
  <si>
    <t>NCF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</si>
</sst>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4" formatCode="_(&quot;$&quot;* #,##0_);_(&quot;$&quot;* \(#,##0\);_(&quot;$&quot;* &quot;-&quot;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2" applyNumberFormat="1" applyFont="1"/>
    <xf numFmtId="165" fontId="0" fillId="0" borderId="0" xfId="0" applyNumberFormat="1"/>
    <xf numFmtId="165" fontId="0" fillId="0" borderId="1" xfId="2" applyNumberFormat="1" applyFont="1" applyBorder="1"/>
    <xf numFmtId="165" fontId="0" fillId="2" borderId="1" xfId="0" applyNumberFormat="1" applyFill="1" applyBorder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3" fontId="4" fillId="0" borderId="0" xfId="0" applyNumberFormat="1" applyFont="1"/>
    <xf numFmtId="3" fontId="4" fillId="0" borderId="2" xfId="0" applyNumberFormat="1" applyFont="1" applyBorder="1"/>
    <xf numFmtId="0" fontId="7" fillId="0" borderId="0" xfId="0" applyFont="1"/>
    <xf numFmtId="9" fontId="4" fillId="0" borderId="0" xfId="0" applyNumberFormat="1" applyFont="1"/>
    <xf numFmtId="44" fontId="4" fillId="0" borderId="0" xfId="2" applyFont="1"/>
    <xf numFmtId="164" fontId="4" fillId="0" borderId="0" xfId="1" applyNumberFormat="1" applyFont="1" applyBorder="1"/>
    <xf numFmtId="164" fontId="4" fillId="0" borderId="0" xfId="0" applyNumberFormat="1" applyFont="1" applyBorder="1"/>
    <xf numFmtId="164" fontId="4" fillId="0" borderId="1" xfId="0" applyNumberFormat="1" applyFont="1" applyBorder="1"/>
    <xf numFmtId="9" fontId="4" fillId="0" borderId="0" xfId="3" applyFont="1"/>
    <xf numFmtId="165" fontId="4" fillId="0" borderId="0" xfId="2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65" fontId="4" fillId="4" borderId="0" xfId="0" applyNumberFormat="1" applyFont="1" applyFill="1"/>
    <xf numFmtId="0" fontId="5" fillId="5" borderId="0" xfId="0" applyFont="1" applyFill="1"/>
    <xf numFmtId="0" fontId="5" fillId="5" borderId="0" xfId="0" applyFont="1" applyFill="1" applyBorder="1"/>
    <xf numFmtId="165" fontId="8" fillId="0" borderId="0" xfId="0" applyNumberFormat="1" applyFont="1"/>
    <xf numFmtId="0" fontId="0" fillId="0" borderId="1" xfId="0" applyBorder="1"/>
    <xf numFmtId="3" fontId="0" fillId="0" borderId="1" xfId="0" applyNumberFormat="1" applyBorder="1"/>
    <xf numFmtId="44" fontId="4" fillId="0" borderId="0" xfId="0" applyNumberFormat="1" applyFont="1"/>
    <xf numFmtId="0" fontId="5" fillId="0" borderId="1" xfId="0" applyFont="1" applyBorder="1" applyAlignment="1">
      <alignment horizontal="center"/>
    </xf>
    <xf numFmtId="44" fontId="4" fillId="0" borderId="1" xfId="2" applyFont="1" applyBorder="1"/>
    <xf numFmtId="165" fontId="4" fillId="0" borderId="1" xfId="2" applyNumberFormat="1" applyFont="1" applyBorder="1"/>
    <xf numFmtId="165" fontId="4" fillId="2" borderId="0" xfId="0" applyNumberFormat="1" applyFont="1" applyFill="1"/>
    <xf numFmtId="165" fontId="4" fillId="0" borderId="0" xfId="0" applyNumberFormat="1" applyFont="1" applyBorder="1"/>
    <xf numFmtId="0" fontId="0" fillId="0" borderId="0" xfId="0" applyFill="1" applyBorder="1"/>
    <xf numFmtId="0" fontId="0" fillId="2" borderId="1" xfId="0" applyFill="1" applyBorder="1"/>
    <xf numFmtId="174" fontId="0" fillId="0" borderId="0" xfId="0" applyNumberFormat="1"/>
    <xf numFmtId="0" fontId="2" fillId="0" borderId="3" xfId="0" applyFont="1" applyFill="1" applyBorder="1"/>
    <xf numFmtId="165" fontId="0" fillId="0" borderId="3" xfId="0" applyNumberFormat="1" applyBorder="1"/>
    <xf numFmtId="165" fontId="4" fillId="5" borderId="0" xfId="0" applyNumberFormat="1" applyFont="1" applyFill="1" applyBorder="1"/>
    <xf numFmtId="0" fontId="4" fillId="0" borderId="4" xfId="0" applyFont="1" applyBorder="1"/>
    <xf numFmtId="165" fontId="4" fillId="0" borderId="4" xfId="2" applyNumberFormat="1" applyFont="1" applyBorder="1"/>
    <xf numFmtId="9" fontId="9" fillId="0" borderId="4" xfId="0" applyNumberFormat="1" applyFont="1" applyBorder="1"/>
    <xf numFmtId="3" fontId="4" fillId="0" borderId="4" xfId="0" applyNumberFormat="1" applyFont="1" applyBorder="1"/>
    <xf numFmtId="9" fontId="4" fillId="0" borderId="4" xfId="0" applyNumberFormat="1" applyFont="1" applyBorder="1"/>
    <xf numFmtId="165" fontId="4" fillId="0" borderId="4" xfId="0" applyNumberFormat="1" applyFont="1" applyBorder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432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645764</xdr:colOff>
      <xdr:row>0</xdr:row>
      <xdr:rowOff>43051</xdr:rowOff>
    </xdr:from>
    <xdr:to>
      <xdr:col>14</xdr:col>
      <xdr:colOff>678051</xdr:colOff>
      <xdr:row>33</xdr:row>
      <xdr:rowOff>43051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B45022-8538-FC45-B32E-4E51DDE8DD55}"/>
            </a:ext>
          </a:extLst>
        </xdr:cNvPr>
        <xdr:cNvSpPr txBox="1"/>
      </xdr:nvSpPr>
      <xdr:spPr>
        <a:xfrm>
          <a:off x="8136611" y="43051"/>
          <a:ext cx="7490847" cy="78137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income statement =&gt; leave depreciation &amp; interest blank</a:t>
          </a:r>
          <a:r>
            <a:rPr lang="en-US" sz="1400"/>
            <a:t> </a:t>
          </a:r>
        </a:p>
        <a:p>
          <a:endParaRPr lang="en-US" sz="1400"/>
        </a:p>
        <a:p>
          <a:r>
            <a:rPr lang="en-US" sz="1400"/>
            <a:t>Step</a:t>
          </a:r>
          <a:r>
            <a:rPr lang="en-US" sz="1400" baseline="0"/>
            <a:t> 1: Assumptions - we have information using forecasting model or estimation based on historical data. </a:t>
          </a:r>
        </a:p>
        <a:p>
          <a:endParaRPr lang="en-US" sz="1400" baseline="0"/>
        </a:p>
        <a:p>
          <a:r>
            <a:rPr lang="en-US" sz="1400" baseline="0"/>
            <a:t>- Revenue: new customers; average order value...  =&gt; Build NET REVENUE</a:t>
          </a:r>
        </a:p>
        <a:p>
          <a:endParaRPr lang="en-US" sz="1400" baseline="0"/>
        </a:p>
        <a:p>
          <a:r>
            <a:rPr lang="en-US" sz="1400" baseline="0"/>
            <a:t>- COGS: to see % of revenue each element accounts for =&gt; TOTAL COGS</a:t>
          </a:r>
        </a:p>
        <a:p>
          <a:endParaRPr lang="en-US" sz="1400" baseline="0"/>
        </a:p>
        <a:p>
          <a:r>
            <a:rPr lang="en-US" sz="1400" baseline="0"/>
            <a:t>- Operating expense: administration, marketing... =&gt; TOTAL OPEX</a:t>
          </a:r>
        </a:p>
        <a:p>
          <a:endParaRPr lang="en-US" sz="1400" baseline="0"/>
        </a:p>
        <a:p>
          <a:r>
            <a:rPr lang="en-US" sz="1400" baseline="0"/>
            <a:t>- Tax rate =&gt; TAX</a:t>
          </a:r>
        </a:p>
        <a:p>
          <a:endParaRPr lang="en-US" sz="1400" baseline="0"/>
        </a:p>
        <a:p>
          <a:r>
            <a:rPr lang="en-US" sz="1400" baseline="0"/>
            <a:t>Step 2:</a:t>
          </a:r>
        </a:p>
        <a:p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=&gt; GROSS MARGIN = NET REVENUE - TOTAL COGS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GM % = GROSS MARGIN  / NET REVENUE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OPERATING INCOME = GROSS MARGIN  - TOTAL OPEX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NI before tax =   Operating income  - Interest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NET INCOME = NI before tax - TAX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NI % = NET INCOME  / NET REVENUE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EBITDAT =  OPERATING INCOME + DEPRECIATION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827640</xdr:colOff>
      <xdr:row>0</xdr:row>
      <xdr:rowOff>21404</xdr:rowOff>
    </xdr:from>
    <xdr:to>
      <xdr:col>11</xdr:col>
      <xdr:colOff>7135</xdr:colOff>
      <xdr:row>13</xdr:row>
      <xdr:rowOff>192640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9C73E4-8168-3249-BBBE-8903443A029E}"/>
            </a:ext>
          </a:extLst>
        </xdr:cNvPr>
        <xdr:cNvSpPr txBox="1"/>
      </xdr:nvSpPr>
      <xdr:spPr>
        <a:xfrm>
          <a:off x="6036067" y="21404"/>
          <a:ext cx="3317697" cy="2768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CAPEX and depreciation schedules</a:t>
          </a:r>
          <a:r>
            <a:rPr lang="en-US"/>
            <a:t> </a:t>
          </a:r>
          <a:endParaRPr lang="en-US" sz="1100"/>
        </a:p>
        <a:p>
          <a:endParaRPr lang="en-US" sz="1100"/>
        </a:p>
        <a:p>
          <a:r>
            <a:rPr lang="en-US" sz="1100"/>
            <a:t>Step</a:t>
          </a:r>
          <a:r>
            <a:rPr lang="en-US" sz="1100" baseline="0"/>
            <a:t> 1: </a:t>
          </a:r>
        </a:p>
        <a:p>
          <a:r>
            <a:rPr lang="en-US" sz="1100" baseline="0"/>
            <a:t>- Fill out investment of each elements in Capex for each year</a:t>
          </a:r>
        </a:p>
        <a:p>
          <a:r>
            <a:rPr lang="en-US" sz="1100" baseline="0"/>
            <a:t>E.g: we invest 75K in year 1 for servers that has 5 useful life </a:t>
          </a:r>
        </a:p>
        <a:p>
          <a:endParaRPr lang="en-US" sz="1100" baseline="0"/>
        </a:p>
        <a:p>
          <a:r>
            <a:rPr lang="en-US" sz="1100" baseline="0"/>
            <a:t>Step 2:</a:t>
          </a:r>
        </a:p>
        <a:p>
          <a:r>
            <a:rPr lang="en-US" sz="1100" baseline="0"/>
            <a:t>- Divide cost / useful life </a:t>
          </a:r>
        </a:p>
        <a:p>
          <a:r>
            <a:rPr lang="en-US" sz="1100" baseline="0"/>
            <a:t>- Remember to plust depreciation over time if useful life is not finished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25400</xdr:rowOff>
    </xdr:from>
    <xdr:to>
      <xdr:col>10</xdr:col>
      <xdr:colOff>1422400</xdr:colOff>
      <xdr:row>28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907E9E-DAC8-E143-B0F6-76153C62DF30}"/>
            </a:ext>
          </a:extLst>
        </xdr:cNvPr>
        <xdr:cNvSpPr txBox="1"/>
      </xdr:nvSpPr>
      <xdr:spPr>
        <a:xfrm>
          <a:off x="10198100" y="25400"/>
          <a:ext cx="6896100" cy="676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Step 1:</a:t>
          </a:r>
        </a:p>
        <a:p>
          <a:r>
            <a:rPr lang="en-US" sz="1400"/>
            <a:t>- Afte</a:t>
          </a:r>
          <a:r>
            <a:rPr lang="en-US" sz="1400" baseline="0"/>
            <a:t> 1st year working, we have data from assets, liabilities and equity</a:t>
          </a:r>
        </a:p>
        <a:p>
          <a:endParaRPr lang="en-US" sz="1400" baseline="0"/>
        </a:p>
        <a:p>
          <a:r>
            <a:rPr lang="en-US" sz="1400" baseline="0"/>
            <a:t>Step 2: We want to forecast Year 1 - Year 4 =&gt; Based on assumptions</a:t>
          </a:r>
        </a:p>
        <a:p>
          <a:r>
            <a:rPr lang="en-US" sz="1400" baseline="0"/>
            <a:t>- Net revenue from Income statement</a:t>
          </a:r>
        </a:p>
        <a:p>
          <a:r>
            <a:rPr lang="en-US" sz="1400" baseline="0"/>
            <a:t>- % that is make sense to the business</a:t>
          </a:r>
        </a:p>
        <a:p>
          <a:endParaRPr lang="en-US" sz="1400" baseline="0"/>
        </a:p>
        <a:p>
          <a:r>
            <a:rPr lang="en-US" sz="1400"/>
            <a:t>Step 3:</a:t>
          </a:r>
        </a:p>
        <a:p>
          <a:r>
            <a:rPr lang="en-US" sz="1400"/>
            <a:t>- Compute Account receivable</a:t>
          </a:r>
        </a:p>
        <a:p>
          <a:endParaRPr lang="en-US" sz="1400"/>
        </a:p>
        <a:p>
          <a:r>
            <a:rPr lang="en-US" sz="1400"/>
            <a:t>- Compute Fixed Assets:</a:t>
          </a:r>
          <a:r>
            <a:rPr lang="en-US" sz="1400" baseline="0"/>
            <a:t> cummulative of assets over year</a:t>
          </a:r>
        </a:p>
        <a:p>
          <a:r>
            <a:rPr lang="en-US" sz="1400" baseline="0"/>
            <a:t>Eg: year 1 = year 0 + CAPEX of year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       year 2 = year 0 + CAPEX of year 1 + CAPEX of year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Compute Depreciation: overtime, value of assets are decreasing</a:t>
          </a:r>
        </a:p>
        <a:p>
          <a:r>
            <a:rPr lang="en-US" sz="1400" baseline="0"/>
            <a:t>Eg: year 1 = year 0 - Depreciation of year 1</a:t>
          </a:r>
        </a:p>
        <a:p>
          <a:r>
            <a:rPr lang="en-US" sz="1400" baseline="0"/>
            <a:t>       year 2 = year 0 - Depreciation of year 1 - Depreciation of year 2</a:t>
          </a:r>
        </a:p>
        <a:p>
          <a:endParaRPr lang="en-US" sz="1400" baseline="0"/>
        </a:p>
        <a:p>
          <a:r>
            <a:rPr lang="en-US" sz="1400" baseline="0"/>
            <a:t>- Compute liabilities</a:t>
          </a:r>
        </a:p>
        <a:p>
          <a:r>
            <a:rPr lang="en-US" sz="1400" baseline="0"/>
            <a:t>- Compute Long term debt = cummulative of previous year + net borrowing this year - debt payment this year</a:t>
          </a:r>
        </a:p>
        <a:p>
          <a:r>
            <a:rPr lang="en-US" sz="1400" baseline="0"/>
            <a:t>=&gt; Interest Payment = Interest Rate * Long term debt</a:t>
          </a:r>
        </a:p>
        <a:p>
          <a:r>
            <a:rPr lang="en-US" sz="1400" baseline="0"/>
            <a:t>=&gt; Fill out Interest Payment to Income Statement</a:t>
          </a:r>
        </a:p>
        <a:p>
          <a:r>
            <a:rPr lang="en-US" sz="1400" baseline="0"/>
            <a:t>=&gt; Have correct net income</a:t>
          </a:r>
        </a:p>
        <a:p>
          <a:endParaRPr lang="en-US" sz="1400" baseline="0"/>
        </a:p>
        <a:p>
          <a:r>
            <a:rPr lang="en-US" sz="1400" baseline="0"/>
            <a:t>- Retained Earnings = cummulative of previous year + net income of this year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Step 4: Check balance: not work -&gt; Must go to Cash flow statement</a:t>
          </a:r>
        </a:p>
        <a:p>
          <a:r>
            <a:rPr lang="en-US" sz="1400"/>
            <a:t>=&gt; Fill out</a:t>
          </a:r>
          <a:r>
            <a:rPr lang="en-US" sz="1400" baseline="0"/>
            <a:t> Cash in the sheet of Balance and it is cummulative over year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16934</xdr:colOff>
      <xdr:row>0</xdr:row>
      <xdr:rowOff>25400</xdr:rowOff>
    </xdr:from>
    <xdr:to>
      <xdr:col>11</xdr:col>
      <xdr:colOff>8467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0CFC0D-E8A1-EC4F-8258-73A3F2DBC5E3}"/>
            </a:ext>
          </a:extLst>
        </xdr:cNvPr>
        <xdr:cNvSpPr txBox="1"/>
      </xdr:nvSpPr>
      <xdr:spPr>
        <a:xfrm>
          <a:off x="7145867" y="25400"/>
          <a:ext cx="4140200" cy="383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Cash</a:t>
          </a:r>
          <a:r>
            <a:rPr lang="en-US" sz="1100" baseline="0"/>
            <a:t> flow statement starts with Net income</a:t>
          </a:r>
        </a:p>
        <a:p>
          <a:endParaRPr lang="en-US" sz="1100" baseline="0"/>
        </a:p>
        <a:p>
          <a:r>
            <a:rPr lang="en-US" sz="1100" baseline="0"/>
            <a:t>Operating activities</a:t>
          </a:r>
        </a:p>
        <a:p>
          <a:r>
            <a:rPr lang="en-US" sz="1100" baseline="0"/>
            <a:t>- Depreciation: From sheet of Depreciation</a:t>
          </a:r>
        </a:p>
        <a:p>
          <a:r>
            <a:rPr lang="en-US" sz="1100" baseline="0"/>
            <a:t>- Change in AR: if year 1 &gt; year 0 -&gt; we are owned more =&gt; we have less money =&gt; Negative number</a:t>
          </a:r>
        </a:p>
        <a:p>
          <a:r>
            <a:rPr lang="en-US" sz="1100" baseline="0"/>
            <a:t>- Change in AP: if year 1 &gt; year 0 : means that we borrow more money =&gt; we have more money in our business =&gt; Postive number</a:t>
          </a:r>
        </a:p>
        <a:p>
          <a:r>
            <a:rPr lang="en-US" sz="1100" baseline="0"/>
            <a:t>- Operating Cash Flow = Net income + all opearating activities</a:t>
          </a:r>
        </a:p>
        <a:p>
          <a:endParaRPr lang="en-US" sz="1100" baseline="0"/>
        </a:p>
        <a:p>
          <a:r>
            <a:rPr lang="en-US" sz="1100" baseline="0"/>
            <a:t>Investing activites</a:t>
          </a:r>
        </a:p>
        <a:p>
          <a:r>
            <a:rPr lang="en-US" sz="1100" baseline="0"/>
            <a:t>- CAPEX: from sheet of depreciation</a:t>
          </a:r>
        </a:p>
        <a:p>
          <a:r>
            <a:rPr lang="en-US" sz="1100" baseline="0"/>
            <a:t>- Free cash flow = Operating Cash Flow - CAPEX</a:t>
          </a:r>
        </a:p>
        <a:p>
          <a:endParaRPr lang="en-US" sz="1100" baseline="0"/>
        </a:p>
        <a:p>
          <a:r>
            <a:rPr lang="en-US" sz="1100" baseline="0"/>
            <a:t>Financing activities</a:t>
          </a:r>
        </a:p>
        <a:p>
          <a:r>
            <a:rPr lang="en-US" sz="1100" baseline="0"/>
            <a:t>- Debt repayment and Net borrowings: from sheet of balance</a:t>
          </a:r>
        </a:p>
        <a:p>
          <a:r>
            <a:rPr lang="en-US" sz="1100" baseline="0"/>
            <a:t>- NCF from financing = Debt repayment  + Net borrowings</a:t>
          </a:r>
        </a:p>
        <a:p>
          <a:endParaRPr lang="en-US" sz="1100" baseline="0"/>
        </a:p>
        <a:p>
          <a:r>
            <a:rPr lang="en-US" sz="1100" baseline="0"/>
            <a:t>Net Cash Flow = Free cash flow  + NCF from financing </a:t>
          </a:r>
        </a:p>
        <a:p>
          <a:r>
            <a:rPr lang="en-US" sz="1100" baseline="0"/>
            <a:t>=&gt; 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9843-0160-2946-9DB7-5A61CAEE92F4}">
  <dimension ref="A1:E60"/>
  <sheetViews>
    <sheetView tabSelected="1" topLeftCell="A13" zoomScale="118" workbookViewId="0">
      <selection activeCell="B17" sqref="B17:E17"/>
    </sheetView>
  </sheetViews>
  <sheetFormatPr baseColWidth="10" defaultRowHeight="19" x14ac:dyDescent="0.25"/>
  <cols>
    <col min="1" max="1" width="27.83203125" style="7" customWidth="1"/>
    <col min="2" max="2" width="21.1640625" style="7" customWidth="1"/>
    <col min="3" max="3" width="15.33203125" style="7" customWidth="1"/>
    <col min="4" max="4" width="16.5" style="7" customWidth="1"/>
    <col min="5" max="5" width="17.33203125" style="7" customWidth="1"/>
    <col min="6" max="16384" width="10.83203125" style="7"/>
  </cols>
  <sheetData>
    <row r="1" spans="1:5" x14ac:dyDescent="0.25">
      <c r="A1" s="9" t="s">
        <v>66</v>
      </c>
      <c r="B1" s="9" t="s">
        <v>6</v>
      </c>
      <c r="C1" s="9" t="s">
        <v>7</v>
      </c>
      <c r="D1" s="9" t="s">
        <v>8</v>
      </c>
      <c r="E1" s="9" t="s">
        <v>9</v>
      </c>
    </row>
    <row r="3" spans="1:5" x14ac:dyDescent="0.25">
      <c r="A3" s="9" t="s">
        <v>22</v>
      </c>
    </row>
    <row r="5" spans="1:5" x14ac:dyDescent="0.25">
      <c r="A5" s="7" t="s">
        <v>37</v>
      </c>
      <c r="B5" s="16">
        <f>B42*B43</f>
        <v>3000000</v>
      </c>
      <c r="C5" s="16">
        <f t="shared" ref="C5:E5" si="0">C42*C43</f>
        <v>4800000</v>
      </c>
      <c r="D5" s="16">
        <f t="shared" si="0"/>
        <v>10000000</v>
      </c>
      <c r="E5" s="16">
        <f t="shared" si="0"/>
        <v>18000000</v>
      </c>
    </row>
    <row r="6" spans="1:5" x14ac:dyDescent="0.25">
      <c r="A6" s="7" t="s">
        <v>52</v>
      </c>
      <c r="B6" s="17">
        <f>-B5*B44</f>
        <v>-150000</v>
      </c>
      <c r="C6" s="17">
        <f t="shared" ref="C6:E6" si="1">-C5*C44</f>
        <v>-240000</v>
      </c>
      <c r="D6" s="17">
        <f t="shared" si="1"/>
        <v>-500000</v>
      </c>
      <c r="E6" s="17">
        <f t="shared" si="1"/>
        <v>-900000</v>
      </c>
    </row>
    <row r="7" spans="1:5" x14ac:dyDescent="0.25">
      <c r="A7" s="7" t="s">
        <v>24</v>
      </c>
      <c r="B7" s="18">
        <f>-B5*B45</f>
        <v>-240000</v>
      </c>
      <c r="C7" s="18">
        <f t="shared" ref="C7:E7" si="2">-C5*C45</f>
        <v>-384000</v>
      </c>
      <c r="D7" s="18">
        <f t="shared" si="2"/>
        <v>-800000</v>
      </c>
      <c r="E7" s="18">
        <f t="shared" si="2"/>
        <v>-1440000</v>
      </c>
    </row>
    <row r="8" spans="1:5" x14ac:dyDescent="0.25">
      <c r="A8" s="24" t="s">
        <v>38</v>
      </c>
      <c r="B8" s="20">
        <f>SUM(B5:B7)</f>
        <v>2610000</v>
      </c>
      <c r="C8" s="20">
        <f t="shared" ref="C8:E8" si="3">SUM(C5:C7)</f>
        <v>4176000</v>
      </c>
      <c r="D8" s="20">
        <f t="shared" si="3"/>
        <v>8700000</v>
      </c>
      <c r="E8" s="20">
        <f t="shared" si="3"/>
        <v>15660000</v>
      </c>
    </row>
    <row r="10" spans="1:5" x14ac:dyDescent="0.25">
      <c r="A10" s="9" t="s">
        <v>53</v>
      </c>
    </row>
    <row r="11" spans="1:5" x14ac:dyDescent="0.25">
      <c r="A11" s="7" t="s">
        <v>26</v>
      </c>
      <c r="B11" s="21">
        <f>B8*B48</f>
        <v>913500</v>
      </c>
      <c r="C11" s="21">
        <f t="shared" ref="C11:E11" si="4">C8*C48</f>
        <v>1461600</v>
      </c>
      <c r="D11" s="21">
        <f t="shared" si="4"/>
        <v>3045000</v>
      </c>
      <c r="E11" s="21">
        <f t="shared" si="4"/>
        <v>5481000</v>
      </c>
    </row>
    <row r="12" spans="1:5" x14ac:dyDescent="0.25">
      <c r="A12" s="7" t="s">
        <v>27</v>
      </c>
      <c r="B12" s="21">
        <f>B8*B49</f>
        <v>130500</v>
      </c>
      <c r="C12" s="21">
        <f t="shared" ref="C12:E12" si="5">C8*C49</f>
        <v>208800</v>
      </c>
      <c r="D12" s="21">
        <f t="shared" si="5"/>
        <v>435000</v>
      </c>
      <c r="E12" s="21">
        <f t="shared" si="5"/>
        <v>783000</v>
      </c>
    </row>
    <row r="13" spans="1:5" x14ac:dyDescent="0.25">
      <c r="A13" s="7" t="s">
        <v>28</v>
      </c>
      <c r="B13" s="22">
        <f>B8*B50</f>
        <v>78300</v>
      </c>
      <c r="C13" s="22">
        <f t="shared" ref="C13:E13" si="6">C8*C50</f>
        <v>125280</v>
      </c>
      <c r="D13" s="22">
        <f t="shared" si="6"/>
        <v>261000</v>
      </c>
      <c r="E13" s="22">
        <f t="shared" si="6"/>
        <v>469800</v>
      </c>
    </row>
    <row r="14" spans="1:5" x14ac:dyDescent="0.25">
      <c r="A14" s="25" t="s">
        <v>39</v>
      </c>
      <c r="B14" s="21">
        <f>SUM(B11:B13)</f>
        <v>1122300</v>
      </c>
      <c r="C14" s="21">
        <f t="shared" ref="C14:E14" si="7">SUM(C11:C13)</f>
        <v>1795680</v>
      </c>
      <c r="D14" s="21">
        <f t="shared" si="7"/>
        <v>3741000</v>
      </c>
      <c r="E14" s="21">
        <f t="shared" si="7"/>
        <v>6733800</v>
      </c>
    </row>
    <row r="16" spans="1:5" x14ac:dyDescent="0.25">
      <c r="A16" s="9" t="s">
        <v>54</v>
      </c>
      <c r="B16" s="21">
        <f>B8-B14</f>
        <v>1487700</v>
      </c>
      <c r="C16" s="21">
        <f t="shared" ref="C16:E16" si="8">C8-C14</f>
        <v>2380320</v>
      </c>
      <c r="D16" s="21">
        <f t="shared" si="8"/>
        <v>4959000</v>
      </c>
      <c r="E16" s="21">
        <f t="shared" si="8"/>
        <v>8926200</v>
      </c>
    </row>
    <row r="17" spans="1:5" x14ac:dyDescent="0.25">
      <c r="A17" s="7" t="s">
        <v>40</v>
      </c>
      <c r="B17" s="7">
        <f>B16/B8</f>
        <v>0.56999999999999995</v>
      </c>
      <c r="C17" s="7">
        <f t="shared" ref="C17:E17" si="9">C16/C8</f>
        <v>0.56999999999999995</v>
      </c>
      <c r="D17" s="7">
        <f t="shared" si="9"/>
        <v>0.56999999999999995</v>
      </c>
      <c r="E17" s="7">
        <f t="shared" si="9"/>
        <v>0.56999999999999995</v>
      </c>
    </row>
    <row r="19" spans="1:5" x14ac:dyDescent="0.25">
      <c r="A19" s="9" t="s">
        <v>29</v>
      </c>
    </row>
    <row r="20" spans="1:5" x14ac:dyDescent="0.25">
      <c r="A20" s="7" t="s">
        <v>30</v>
      </c>
      <c r="B20" s="21">
        <f>B53*B$8</f>
        <v>522000</v>
      </c>
      <c r="C20" s="21">
        <f t="shared" ref="C20:E20" si="10">C53*C$8</f>
        <v>835200</v>
      </c>
      <c r="D20" s="21">
        <f t="shared" si="10"/>
        <v>1740000</v>
      </c>
      <c r="E20" s="21">
        <f t="shared" si="10"/>
        <v>3132000</v>
      </c>
    </row>
    <row r="21" spans="1:5" x14ac:dyDescent="0.25">
      <c r="A21" s="7" t="s">
        <v>31</v>
      </c>
      <c r="B21" s="21">
        <f t="shared" ref="B21:E21" si="11">B54*B$8</f>
        <v>261000</v>
      </c>
      <c r="C21" s="21">
        <f t="shared" si="11"/>
        <v>417600</v>
      </c>
      <c r="D21" s="21">
        <f t="shared" si="11"/>
        <v>870000</v>
      </c>
      <c r="E21" s="21">
        <f t="shared" si="11"/>
        <v>1566000</v>
      </c>
    </row>
    <row r="22" spans="1:5" x14ac:dyDescent="0.25">
      <c r="A22" s="7" t="s">
        <v>32</v>
      </c>
      <c r="B22" s="21">
        <f t="shared" ref="B22:E22" si="12">B55*B$8</f>
        <v>130500</v>
      </c>
      <c r="C22" s="21">
        <f t="shared" si="12"/>
        <v>208800</v>
      </c>
      <c r="D22" s="21">
        <f t="shared" si="12"/>
        <v>435000</v>
      </c>
      <c r="E22" s="21">
        <f t="shared" si="12"/>
        <v>783000</v>
      </c>
    </row>
    <row r="23" spans="1:5" x14ac:dyDescent="0.25">
      <c r="A23" s="7" t="s">
        <v>33</v>
      </c>
      <c r="B23" s="26">
        <f>Depreciation!C13</f>
        <v>31666.666666666668</v>
      </c>
      <c r="C23" s="26">
        <f>Depreciation!D13</f>
        <v>65000</v>
      </c>
      <c r="D23" s="26">
        <f>Depreciation!E13</f>
        <v>103333.33333333334</v>
      </c>
      <c r="E23" s="26">
        <f>Depreciation!F13</f>
        <v>86666.666666666672</v>
      </c>
    </row>
    <row r="24" spans="1:5" x14ac:dyDescent="0.25">
      <c r="A24" s="24" t="s">
        <v>41</v>
      </c>
      <c r="B24" s="21">
        <f>SUM(B20:B23)</f>
        <v>945166.66666666663</v>
      </c>
      <c r="C24" s="21">
        <f t="shared" ref="C24:E24" si="13">SUM(C20:C23)</f>
        <v>1526600</v>
      </c>
      <c r="D24" s="21">
        <f t="shared" si="13"/>
        <v>3148333.3333333335</v>
      </c>
      <c r="E24" s="21">
        <f t="shared" si="13"/>
        <v>5567666.666666667</v>
      </c>
    </row>
    <row r="25" spans="1:5" x14ac:dyDescent="0.25">
      <c r="B25" s="21"/>
      <c r="C25" s="21"/>
      <c r="D25" s="21"/>
      <c r="E25" s="21"/>
    </row>
    <row r="26" spans="1:5" x14ac:dyDescent="0.25">
      <c r="A26" s="9" t="s">
        <v>55</v>
      </c>
      <c r="B26" s="21">
        <f>B16-B24</f>
        <v>542533.33333333337</v>
      </c>
      <c r="C26" s="21">
        <f t="shared" ref="C26:E26" si="14">C16-C24</f>
        <v>853720</v>
      </c>
      <c r="D26" s="21">
        <f t="shared" si="14"/>
        <v>1810666.6666666665</v>
      </c>
      <c r="E26" s="21">
        <f t="shared" si="14"/>
        <v>3358533.333333333</v>
      </c>
    </row>
    <row r="27" spans="1:5" x14ac:dyDescent="0.25">
      <c r="B27" s="21"/>
      <c r="C27" s="21"/>
      <c r="D27" s="21"/>
      <c r="E27" s="21"/>
    </row>
    <row r="28" spans="1:5" x14ac:dyDescent="0.25">
      <c r="A28" s="7" t="s">
        <v>35</v>
      </c>
      <c r="B28" s="23">
        <f>Balance!C46</f>
        <v>192000</v>
      </c>
      <c r="C28" s="23">
        <f>Balance!D46</f>
        <v>240000</v>
      </c>
      <c r="D28" s="23">
        <f>Balance!E46</f>
        <v>168000</v>
      </c>
      <c r="E28" s="23">
        <f>Balance!F46</f>
        <v>96000</v>
      </c>
    </row>
    <row r="29" spans="1:5" x14ac:dyDescent="0.25">
      <c r="B29" s="21"/>
      <c r="C29" s="21"/>
      <c r="D29" s="21"/>
      <c r="E29" s="21"/>
    </row>
    <row r="30" spans="1:5" x14ac:dyDescent="0.25">
      <c r="A30" s="24" t="s">
        <v>73</v>
      </c>
      <c r="B30" s="21">
        <f>B26-B28</f>
        <v>350533.33333333337</v>
      </c>
      <c r="C30" s="21">
        <f t="shared" ref="C30:E30" si="15">C26-C28</f>
        <v>613720</v>
      </c>
      <c r="D30" s="21">
        <f t="shared" si="15"/>
        <v>1642666.6666666665</v>
      </c>
      <c r="E30" s="21">
        <f t="shared" si="15"/>
        <v>3262533.333333333</v>
      </c>
    </row>
    <row r="31" spans="1:5" x14ac:dyDescent="0.25">
      <c r="B31" s="21"/>
      <c r="C31" s="21"/>
      <c r="D31" s="21"/>
      <c r="E31" s="21"/>
    </row>
    <row r="32" spans="1:5" x14ac:dyDescent="0.25">
      <c r="A32" s="7" t="s">
        <v>42</v>
      </c>
      <c r="B32" s="21">
        <f>B30*B60</f>
        <v>73612</v>
      </c>
      <c r="C32" s="21">
        <f t="shared" ref="C32:E32" si="16">C30*C60</f>
        <v>128881.2</v>
      </c>
      <c r="D32" s="21">
        <f t="shared" si="16"/>
        <v>344959.99999999994</v>
      </c>
      <c r="E32" s="21">
        <f t="shared" si="16"/>
        <v>685131.99999999988</v>
      </c>
    </row>
    <row r="33" spans="1:5" x14ac:dyDescent="0.25">
      <c r="B33" s="21"/>
      <c r="C33" s="21"/>
      <c r="D33" s="21"/>
      <c r="E33" s="21"/>
    </row>
    <row r="34" spans="1:5" x14ac:dyDescent="0.25">
      <c r="A34" s="24" t="s">
        <v>43</v>
      </c>
      <c r="B34" s="21">
        <f>B30-B32</f>
        <v>276921.33333333337</v>
      </c>
      <c r="C34" s="21">
        <f t="shared" ref="C34:E34" si="17">C30-C32</f>
        <v>484838.8</v>
      </c>
      <c r="D34" s="21">
        <f t="shared" si="17"/>
        <v>1297706.6666666665</v>
      </c>
      <c r="E34" s="21">
        <f t="shared" si="17"/>
        <v>2577401.333333333</v>
      </c>
    </row>
    <row r="35" spans="1:5" x14ac:dyDescent="0.25">
      <c r="A35" s="7" t="s">
        <v>44</v>
      </c>
      <c r="B35" s="19">
        <f>B34/B8</f>
        <v>0.10610012771392083</v>
      </c>
      <c r="C35" s="19">
        <f t="shared" ref="C35:E35" si="18">C34/C8</f>
        <v>0.11610124521072797</v>
      </c>
      <c r="D35" s="19">
        <f t="shared" si="18"/>
        <v>0.14916168582375477</v>
      </c>
      <c r="E35" s="19">
        <f t="shared" si="18"/>
        <v>0.16458501489995742</v>
      </c>
    </row>
    <row r="36" spans="1:5" x14ac:dyDescent="0.25">
      <c r="B36" s="21"/>
      <c r="C36" s="21"/>
      <c r="D36" s="21"/>
      <c r="E36" s="21"/>
    </row>
    <row r="37" spans="1:5" x14ac:dyDescent="0.25">
      <c r="A37" s="7" t="s">
        <v>56</v>
      </c>
      <c r="B37" s="21">
        <f>B26+B23</f>
        <v>574200</v>
      </c>
      <c r="C37" s="21">
        <f t="shared" ref="C37:E37" si="19">C26+C23</f>
        <v>918720</v>
      </c>
      <c r="D37" s="21">
        <f t="shared" si="19"/>
        <v>1913999.9999999998</v>
      </c>
      <c r="E37" s="21">
        <f t="shared" si="19"/>
        <v>3445199.9999999995</v>
      </c>
    </row>
    <row r="39" spans="1:5" x14ac:dyDescent="0.25">
      <c r="A39" s="8" t="s">
        <v>21</v>
      </c>
    </row>
    <row r="41" spans="1:5" x14ac:dyDescent="0.25">
      <c r="A41" s="10" t="s">
        <v>22</v>
      </c>
    </row>
    <row r="42" spans="1:5" x14ac:dyDescent="0.25">
      <c r="A42" s="7" t="s">
        <v>23</v>
      </c>
      <c r="B42" s="12">
        <v>75000</v>
      </c>
      <c r="C42" s="11">
        <v>120000</v>
      </c>
      <c r="D42" s="11">
        <v>250000</v>
      </c>
      <c r="E42" s="11">
        <v>450000</v>
      </c>
    </row>
    <row r="43" spans="1:5" x14ac:dyDescent="0.25">
      <c r="A43" s="7" t="s">
        <v>67</v>
      </c>
      <c r="B43" s="7">
        <v>40</v>
      </c>
      <c r="C43" s="7">
        <v>40</v>
      </c>
      <c r="D43" s="7">
        <v>40</v>
      </c>
      <c r="E43" s="7">
        <v>40</v>
      </c>
    </row>
    <row r="44" spans="1:5" x14ac:dyDescent="0.25">
      <c r="A44" s="7" t="s">
        <v>68</v>
      </c>
      <c r="B44" s="14">
        <v>0.05</v>
      </c>
      <c r="C44" s="14">
        <v>0.05</v>
      </c>
      <c r="D44" s="14">
        <v>0.05</v>
      </c>
      <c r="E44" s="14">
        <v>0.05</v>
      </c>
    </row>
    <row r="45" spans="1:5" x14ac:dyDescent="0.25">
      <c r="A45" s="7" t="s">
        <v>69</v>
      </c>
      <c r="B45" s="14">
        <v>0.08</v>
      </c>
      <c r="C45" s="14">
        <v>0.08</v>
      </c>
      <c r="D45" s="14">
        <v>0.08</v>
      </c>
      <c r="E45" s="14">
        <v>0.08</v>
      </c>
    </row>
    <row r="47" spans="1:5" x14ac:dyDescent="0.25">
      <c r="A47" s="10" t="s">
        <v>25</v>
      </c>
    </row>
    <row r="48" spans="1:5" x14ac:dyDescent="0.25">
      <c r="A48" s="7" t="s">
        <v>26</v>
      </c>
      <c r="B48" s="14">
        <v>0.35</v>
      </c>
      <c r="C48" s="14">
        <v>0.35</v>
      </c>
      <c r="D48" s="14">
        <v>0.35</v>
      </c>
      <c r="E48" s="14">
        <v>0.35</v>
      </c>
    </row>
    <row r="49" spans="1:5" x14ac:dyDescent="0.25">
      <c r="A49" s="7" t="s">
        <v>27</v>
      </c>
      <c r="B49" s="14">
        <v>0.05</v>
      </c>
      <c r="C49" s="14">
        <v>0.05</v>
      </c>
      <c r="D49" s="14">
        <v>0.05</v>
      </c>
      <c r="E49" s="14">
        <v>0.05</v>
      </c>
    </row>
    <row r="50" spans="1:5" x14ac:dyDescent="0.25">
      <c r="A50" s="7" t="s">
        <v>70</v>
      </c>
      <c r="B50" s="14">
        <v>0.03</v>
      </c>
      <c r="C50" s="14">
        <v>0.03</v>
      </c>
      <c r="D50" s="14">
        <v>0.03</v>
      </c>
      <c r="E50" s="14">
        <v>0.03</v>
      </c>
    </row>
    <row r="51" spans="1:5" x14ac:dyDescent="0.25">
      <c r="C51" s="13"/>
    </row>
    <row r="52" spans="1:5" x14ac:dyDescent="0.25">
      <c r="A52" s="10" t="s">
        <v>29</v>
      </c>
    </row>
    <row r="53" spans="1:5" x14ac:dyDescent="0.25">
      <c r="A53" s="7" t="s">
        <v>72</v>
      </c>
      <c r="B53" s="14">
        <v>0.2</v>
      </c>
      <c r="C53" s="14">
        <v>0.2</v>
      </c>
      <c r="D53" s="14">
        <v>0.2</v>
      </c>
      <c r="E53" s="14">
        <v>0.2</v>
      </c>
    </row>
    <row r="54" spans="1:5" x14ac:dyDescent="0.25">
      <c r="A54" s="7" t="s">
        <v>31</v>
      </c>
      <c r="B54" s="14">
        <v>0.1</v>
      </c>
      <c r="C54" s="14">
        <v>0.1</v>
      </c>
      <c r="D54" s="14">
        <v>0.1</v>
      </c>
      <c r="E54" s="14">
        <v>0.1</v>
      </c>
    </row>
    <row r="55" spans="1:5" x14ac:dyDescent="0.25">
      <c r="A55" s="7" t="s">
        <v>71</v>
      </c>
      <c r="B55" s="14">
        <v>0.05</v>
      </c>
      <c r="C55" s="14">
        <v>0.05</v>
      </c>
      <c r="D55" s="14">
        <v>0.05</v>
      </c>
      <c r="E55" s="14">
        <v>0.05</v>
      </c>
    </row>
    <row r="56" spans="1:5" x14ac:dyDescent="0.25">
      <c r="A56" s="7" t="s">
        <v>33</v>
      </c>
      <c r="B56" s="7" t="s">
        <v>34</v>
      </c>
      <c r="C56" s="7" t="s">
        <v>34</v>
      </c>
      <c r="D56" s="7" t="s">
        <v>34</v>
      </c>
      <c r="E56" s="7" t="s">
        <v>34</v>
      </c>
    </row>
    <row r="58" spans="1:5" x14ac:dyDescent="0.25">
      <c r="A58" s="7" t="s">
        <v>35</v>
      </c>
    </row>
    <row r="60" spans="1:5" x14ac:dyDescent="0.25">
      <c r="A60" s="7" t="s">
        <v>36</v>
      </c>
      <c r="B60" s="14">
        <v>0.21</v>
      </c>
      <c r="C60" s="14">
        <v>0.21</v>
      </c>
      <c r="D60" s="14">
        <v>0.21</v>
      </c>
      <c r="E60" s="14"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DD85-3387-5C4A-9D12-F89C7BC8C09F}">
  <dimension ref="A1:F13"/>
  <sheetViews>
    <sheetView zoomScale="178" workbookViewId="0">
      <selection activeCell="C14" sqref="C14"/>
    </sheetView>
  </sheetViews>
  <sheetFormatPr baseColWidth="10" defaultRowHeight="16" x14ac:dyDescent="0.2"/>
  <cols>
    <col min="1" max="1" width="18.5" customWidth="1"/>
    <col min="2" max="2" width="8.6640625" customWidth="1"/>
    <col min="3" max="3" width="10.33203125" customWidth="1"/>
    <col min="4" max="4" width="11.1640625" customWidth="1"/>
    <col min="5" max="5" width="10" customWidth="1"/>
    <col min="6" max="6" width="9.6640625" customWidth="1"/>
  </cols>
  <sheetData>
    <row r="1" spans="1:6" x14ac:dyDescent="0.2">
      <c r="A1" s="1" t="s">
        <v>20</v>
      </c>
      <c r="B1" t="s">
        <v>74</v>
      </c>
      <c r="C1" t="s">
        <v>6</v>
      </c>
      <c r="D1" t="s">
        <v>7</v>
      </c>
      <c r="E1" t="s">
        <v>8</v>
      </c>
      <c r="F1" t="s">
        <v>9</v>
      </c>
    </row>
    <row r="3" spans="1:6" x14ac:dyDescent="0.2">
      <c r="A3" s="1" t="s">
        <v>45</v>
      </c>
    </row>
    <row r="4" spans="1:6" x14ac:dyDescent="0.2">
      <c r="A4" t="s">
        <v>46</v>
      </c>
      <c r="B4">
        <v>5</v>
      </c>
      <c r="C4" s="3">
        <v>75000</v>
      </c>
      <c r="D4" s="3"/>
      <c r="E4" s="3"/>
    </row>
    <row r="5" spans="1:6" x14ac:dyDescent="0.2">
      <c r="A5" t="s">
        <v>47</v>
      </c>
      <c r="B5">
        <v>3</v>
      </c>
      <c r="C5" s="3">
        <v>50000</v>
      </c>
      <c r="D5" s="3">
        <v>100000</v>
      </c>
      <c r="E5" s="3">
        <v>100000</v>
      </c>
    </row>
    <row r="6" spans="1:6" x14ac:dyDescent="0.2">
      <c r="A6" t="s">
        <v>48</v>
      </c>
      <c r="B6">
        <v>6</v>
      </c>
      <c r="C6" s="27"/>
      <c r="D6" s="27"/>
      <c r="E6" s="28">
        <v>30000</v>
      </c>
    </row>
    <row r="7" spans="1:6" x14ac:dyDescent="0.2">
      <c r="A7" s="1" t="s">
        <v>49</v>
      </c>
      <c r="C7" s="4">
        <f>SUM(C4:C6)</f>
        <v>125000</v>
      </c>
      <c r="D7" s="4">
        <f t="shared" ref="D7:E7" si="0">SUM(D4:D6)</f>
        <v>100000</v>
      </c>
      <c r="E7" s="4">
        <f t="shared" si="0"/>
        <v>130000</v>
      </c>
    </row>
    <row r="9" spans="1:6" x14ac:dyDescent="0.2">
      <c r="A9" s="1" t="s">
        <v>33</v>
      </c>
    </row>
    <row r="10" spans="1:6" x14ac:dyDescent="0.2">
      <c r="A10" t="s">
        <v>46</v>
      </c>
      <c r="C10" s="3">
        <f>$C$4/$B$4</f>
        <v>15000</v>
      </c>
      <c r="D10" s="3">
        <f t="shared" ref="D10:E10" si="1">$C$4/$B$4</f>
        <v>15000</v>
      </c>
      <c r="E10" s="3">
        <f t="shared" si="1"/>
        <v>15000</v>
      </c>
      <c r="F10" s="3">
        <f>$C$4/$B$4</f>
        <v>15000</v>
      </c>
    </row>
    <row r="11" spans="1:6" x14ac:dyDescent="0.2">
      <c r="A11" t="s">
        <v>47</v>
      </c>
      <c r="C11" s="3">
        <f>$C$5/$B$5</f>
        <v>16666.666666666668</v>
      </c>
      <c r="D11" s="3">
        <f>$C$5/$B$5 + $D$5/$B$5</f>
        <v>50000</v>
      </c>
      <c r="E11" s="3">
        <f>$C$5/$B$5 + $D$5/$B$5 + $E$5/$B$5</f>
        <v>83333.333333333343</v>
      </c>
      <c r="F11" s="3">
        <f>$D$5/$B$5 + $E$5/$B$5</f>
        <v>66666.666666666672</v>
      </c>
    </row>
    <row r="12" spans="1:6" x14ac:dyDescent="0.2">
      <c r="C12" s="5"/>
      <c r="D12" s="5"/>
      <c r="E12" s="5">
        <f>$E$6/$B$6</f>
        <v>5000</v>
      </c>
      <c r="F12" s="5">
        <f>$E$6/$B$6</f>
        <v>5000</v>
      </c>
    </row>
    <row r="13" spans="1:6" x14ac:dyDescent="0.2">
      <c r="A13" s="1" t="s">
        <v>50</v>
      </c>
      <c r="C13" s="3">
        <f>SUM(C10:C12)</f>
        <v>31666.666666666668</v>
      </c>
      <c r="D13" s="3">
        <f t="shared" ref="D13:F13" si="2">SUM(D10:D12)</f>
        <v>65000</v>
      </c>
      <c r="E13" s="3">
        <f t="shared" si="2"/>
        <v>103333.33333333334</v>
      </c>
      <c r="F13" s="3">
        <f t="shared" si="2"/>
        <v>86666.666666666672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D947-1713-3F42-86A3-D979D329547F}">
  <dimension ref="A1:F46"/>
  <sheetViews>
    <sheetView topLeftCell="A10" workbookViewId="0">
      <selection activeCell="C6" sqref="C6:F6"/>
    </sheetView>
  </sheetViews>
  <sheetFormatPr baseColWidth="10" defaultColWidth="19.1640625" defaultRowHeight="19" x14ac:dyDescent="0.25"/>
  <cols>
    <col min="1" max="1" width="33.1640625" style="7" customWidth="1"/>
    <col min="2" max="16384" width="19.1640625" style="7"/>
  </cols>
  <sheetData>
    <row r="1" spans="1:6" x14ac:dyDescent="0.25">
      <c r="A1" s="9" t="s">
        <v>18</v>
      </c>
      <c r="B1" s="9" t="s">
        <v>17</v>
      </c>
      <c r="C1" s="30" t="s">
        <v>6</v>
      </c>
      <c r="D1" s="30" t="s">
        <v>7</v>
      </c>
      <c r="E1" s="30" t="s">
        <v>8</v>
      </c>
      <c r="F1" s="30" t="s">
        <v>9</v>
      </c>
    </row>
    <row r="2" spans="1:6" x14ac:dyDescent="0.25">
      <c r="B2" s="7" t="s">
        <v>19</v>
      </c>
    </row>
    <row r="4" spans="1:6" x14ac:dyDescent="0.25">
      <c r="A4" s="9" t="s">
        <v>3</v>
      </c>
    </row>
    <row r="6" spans="1:6" x14ac:dyDescent="0.25">
      <c r="A6" s="7" t="s">
        <v>75</v>
      </c>
      <c r="B6" s="20">
        <v>4250000</v>
      </c>
      <c r="C6" s="20">
        <f>B6+CashFlowStatement!B22</f>
        <v>3957988</v>
      </c>
      <c r="D6" s="20">
        <f>C6+CashFlowStatement!C22</f>
        <v>5153986.8</v>
      </c>
      <c r="E6" s="20">
        <f>D6+CashFlowStatement!D22</f>
        <v>6057466.7999999998</v>
      </c>
      <c r="F6" s="20">
        <f>E6+CashFlowStatement!E22</f>
        <v>8761134.8000000007</v>
      </c>
    </row>
    <row r="7" spans="1:6" x14ac:dyDescent="0.25">
      <c r="A7" s="7" t="s">
        <v>76</v>
      </c>
      <c r="B7" s="32">
        <v>120000</v>
      </c>
      <c r="C7" s="32">
        <f>C38*C39</f>
        <v>130500</v>
      </c>
      <c r="D7" s="32">
        <f t="shared" ref="D7:F7" si="0">D38*D39</f>
        <v>208800</v>
      </c>
      <c r="E7" s="32">
        <f t="shared" si="0"/>
        <v>435000</v>
      </c>
      <c r="F7" s="32">
        <f t="shared" si="0"/>
        <v>783000</v>
      </c>
    </row>
    <row r="8" spans="1:6" x14ac:dyDescent="0.25">
      <c r="A8" s="9" t="s">
        <v>12</v>
      </c>
      <c r="B8" s="21">
        <f>SUM(B6:B7)</f>
        <v>4370000</v>
      </c>
      <c r="C8" s="21">
        <f t="shared" ref="C8:F8" si="1">SUM(C6:C7)</f>
        <v>4088488</v>
      </c>
      <c r="D8" s="21">
        <f t="shared" si="1"/>
        <v>5362786.8</v>
      </c>
      <c r="E8" s="21">
        <f t="shared" si="1"/>
        <v>6492466.7999999998</v>
      </c>
      <c r="F8" s="21">
        <f t="shared" si="1"/>
        <v>9544134.8000000007</v>
      </c>
    </row>
    <row r="10" spans="1:6" x14ac:dyDescent="0.25">
      <c r="A10" s="7" t="s">
        <v>10</v>
      </c>
      <c r="B10" s="15">
        <v>40000</v>
      </c>
      <c r="C10" s="21">
        <f>B10+Depreciation!C7</f>
        <v>165000</v>
      </c>
      <c r="D10" s="21">
        <f>C10+Depreciation!D7</f>
        <v>265000</v>
      </c>
      <c r="E10" s="21">
        <f>D10+Depreciation!E7</f>
        <v>395000</v>
      </c>
      <c r="F10" s="21">
        <f>E10+Depreciation!F7</f>
        <v>395000</v>
      </c>
    </row>
    <row r="11" spans="1:6" x14ac:dyDescent="0.25">
      <c r="A11" s="7" t="s">
        <v>11</v>
      </c>
      <c r="B11" s="31">
        <v>-10000</v>
      </c>
      <c r="C11" s="22">
        <f>B11-Depreciation!C13</f>
        <v>-41666.666666666672</v>
      </c>
      <c r="D11" s="22">
        <f>C11-Depreciation!D13</f>
        <v>-106666.66666666667</v>
      </c>
      <c r="E11" s="22">
        <f>D11-Depreciation!E13</f>
        <v>-210000</v>
      </c>
      <c r="F11" s="22">
        <f>E11-Depreciation!F13</f>
        <v>-296666.66666666669</v>
      </c>
    </row>
    <row r="12" spans="1:6" x14ac:dyDescent="0.25">
      <c r="A12" s="9" t="s">
        <v>77</v>
      </c>
      <c r="B12" s="29">
        <f>SUM(B10:B11)</f>
        <v>30000</v>
      </c>
      <c r="C12" s="21">
        <f>SUM(C10:C11)</f>
        <v>123333.33333333333</v>
      </c>
      <c r="D12" s="21">
        <f t="shared" ref="D12:F12" si="2">SUM(D10:D11)</f>
        <v>158333.33333333331</v>
      </c>
      <c r="E12" s="21">
        <f t="shared" si="2"/>
        <v>185000</v>
      </c>
      <c r="F12" s="21">
        <f t="shared" si="2"/>
        <v>98333.333333333314</v>
      </c>
    </row>
    <row r="14" spans="1:6" x14ac:dyDescent="0.25">
      <c r="A14" s="9" t="s">
        <v>13</v>
      </c>
      <c r="B14" s="22">
        <f>B8+B12</f>
        <v>4400000</v>
      </c>
      <c r="C14" s="22">
        <f>C8+C12</f>
        <v>4211821.333333333</v>
      </c>
      <c r="D14" s="22">
        <f t="shared" ref="C14:F14" si="3">D8+D12</f>
        <v>5521120.1333333328</v>
      </c>
      <c r="E14" s="22">
        <f t="shared" si="3"/>
        <v>6677466.7999999998</v>
      </c>
      <c r="F14" s="22">
        <f t="shared" si="3"/>
        <v>9642468.1333333347</v>
      </c>
    </row>
    <row r="16" spans="1:6" x14ac:dyDescent="0.25">
      <c r="A16" s="9" t="s">
        <v>4</v>
      </c>
    </row>
    <row r="18" spans="1:6" x14ac:dyDescent="0.25">
      <c r="A18" s="7" t="s">
        <v>5</v>
      </c>
      <c r="B18" s="20">
        <v>75000</v>
      </c>
      <c r="C18" s="21">
        <f>C38*C40</f>
        <v>156600</v>
      </c>
      <c r="D18" s="21">
        <f t="shared" ref="D18:F18" si="4">D38*D40</f>
        <v>250560</v>
      </c>
      <c r="E18" s="21">
        <f t="shared" si="4"/>
        <v>522000</v>
      </c>
      <c r="F18" s="21">
        <f t="shared" si="4"/>
        <v>939600</v>
      </c>
    </row>
    <row r="19" spans="1:6" x14ac:dyDescent="0.25">
      <c r="A19" s="7" t="s">
        <v>78</v>
      </c>
      <c r="B19" s="21">
        <v>25000</v>
      </c>
      <c r="C19" s="21">
        <f>C38*C41</f>
        <v>78300</v>
      </c>
      <c r="D19" s="21">
        <f t="shared" ref="D19:F19" si="5">D38*D41</f>
        <v>208800</v>
      </c>
      <c r="E19" s="21">
        <f t="shared" si="5"/>
        <v>696000</v>
      </c>
      <c r="F19" s="21">
        <f t="shared" si="5"/>
        <v>1566000</v>
      </c>
    </row>
    <row r="20" spans="1:6" x14ac:dyDescent="0.25">
      <c r="A20" s="9" t="s">
        <v>79</v>
      </c>
      <c r="B20" s="22">
        <f>SUM(B18:B19)</f>
        <v>100000</v>
      </c>
      <c r="C20" s="22">
        <f>SUM(C18:C19)</f>
        <v>234900</v>
      </c>
      <c r="D20" s="22">
        <f t="shared" ref="D20:F20" si="6">SUM(D18:D19)</f>
        <v>459360</v>
      </c>
      <c r="E20" s="22">
        <f t="shared" si="6"/>
        <v>1218000</v>
      </c>
      <c r="F20" s="22">
        <f t="shared" si="6"/>
        <v>2505600</v>
      </c>
    </row>
    <row r="22" spans="1:6" x14ac:dyDescent="0.25">
      <c r="A22" s="7" t="s">
        <v>1</v>
      </c>
      <c r="B22" s="20">
        <v>3000000</v>
      </c>
      <c r="C22" s="21">
        <f>B22+C43-C44</f>
        <v>2400000</v>
      </c>
      <c r="D22" s="21">
        <f>C22+D43-D44</f>
        <v>3000000</v>
      </c>
      <c r="E22" s="21">
        <f>D22+E43-E44</f>
        <v>2100000</v>
      </c>
      <c r="F22" s="21">
        <f>E22+F43-F44</f>
        <v>1200000</v>
      </c>
    </row>
    <row r="24" spans="1:6" x14ac:dyDescent="0.25">
      <c r="A24" s="9" t="s">
        <v>15</v>
      </c>
      <c r="B24" s="22">
        <f>B20+B22</f>
        <v>3100000</v>
      </c>
      <c r="C24" s="22">
        <f t="shared" ref="C24:F24" si="7">C20+C22</f>
        <v>2634900</v>
      </c>
      <c r="D24" s="22">
        <f t="shared" si="7"/>
        <v>3459360</v>
      </c>
      <c r="E24" s="22">
        <f t="shared" si="7"/>
        <v>3318000</v>
      </c>
      <c r="F24" s="22">
        <f t="shared" si="7"/>
        <v>3705600</v>
      </c>
    </row>
    <row r="26" spans="1:6" x14ac:dyDescent="0.25">
      <c r="A26" s="9" t="s">
        <v>2</v>
      </c>
    </row>
    <row r="28" spans="1:6" x14ac:dyDescent="0.25">
      <c r="A28" s="7" t="s">
        <v>80</v>
      </c>
      <c r="B28" s="20">
        <v>50000</v>
      </c>
      <c r="C28" s="20">
        <v>50000</v>
      </c>
      <c r="D28" s="20">
        <v>50000</v>
      </c>
      <c r="E28" s="20">
        <v>50000</v>
      </c>
      <c r="F28" s="20">
        <v>50000</v>
      </c>
    </row>
    <row r="29" spans="1:6" x14ac:dyDescent="0.25">
      <c r="A29" s="7" t="s">
        <v>0</v>
      </c>
      <c r="B29" s="20">
        <v>1250000</v>
      </c>
      <c r="C29" s="33">
        <f>B29+Income!B34</f>
        <v>1526921.3333333335</v>
      </c>
      <c r="D29" s="33">
        <f>C29+Income!C34</f>
        <v>2011760.1333333335</v>
      </c>
      <c r="E29" s="33">
        <f>D29+Income!D34</f>
        <v>3309466.8</v>
      </c>
      <c r="F29" s="33">
        <f>E29+Income!E34</f>
        <v>5886868.1333333328</v>
      </c>
    </row>
    <row r="30" spans="1:6" x14ac:dyDescent="0.25">
      <c r="A30" s="7" t="s">
        <v>16</v>
      </c>
      <c r="B30" s="21">
        <f>SUM(B28:B29)</f>
        <v>1300000</v>
      </c>
      <c r="C30" s="21">
        <f>SUM(C28:C29)</f>
        <v>1576921.3333333335</v>
      </c>
      <c r="D30" s="21">
        <f t="shared" ref="D30:F30" si="8">SUM(D28:D29)</f>
        <v>2061760.1333333335</v>
      </c>
      <c r="E30" s="21">
        <f t="shared" si="8"/>
        <v>3359466.8</v>
      </c>
      <c r="F30" s="21">
        <f t="shared" si="8"/>
        <v>5936868.1333333328</v>
      </c>
    </row>
    <row r="32" spans="1:6" x14ac:dyDescent="0.25">
      <c r="A32" s="9" t="s">
        <v>81</v>
      </c>
      <c r="B32" s="22">
        <f>B30+B24</f>
        <v>4400000</v>
      </c>
      <c r="C32" s="22">
        <f>C30+C24</f>
        <v>4211821.333333334</v>
      </c>
      <c r="D32" s="22">
        <f t="shared" ref="C32:F32" si="9">D30+D24</f>
        <v>5521120.1333333338</v>
      </c>
      <c r="E32" s="22">
        <f t="shared" si="9"/>
        <v>6677466.7999999998</v>
      </c>
      <c r="F32" s="22">
        <f t="shared" si="9"/>
        <v>9642468.1333333328</v>
      </c>
    </row>
    <row r="33" spans="1:6" x14ac:dyDescent="0.25">
      <c r="A33" s="9"/>
      <c r="B33" s="34"/>
    </row>
    <row r="34" spans="1:6" x14ac:dyDescent="0.25">
      <c r="A34" s="24" t="s">
        <v>85</v>
      </c>
      <c r="B34" s="40">
        <f>B32-B14</f>
        <v>0</v>
      </c>
      <c r="C34" s="40">
        <f>C32-C14</f>
        <v>0</v>
      </c>
      <c r="D34" s="40">
        <f t="shared" ref="C34:F34" si="10">D32-D14</f>
        <v>0</v>
      </c>
      <c r="E34" s="40">
        <f t="shared" si="10"/>
        <v>0</v>
      </c>
      <c r="F34" s="40">
        <f t="shared" si="10"/>
        <v>0</v>
      </c>
    </row>
    <row r="36" spans="1:6" x14ac:dyDescent="0.25">
      <c r="A36" s="8" t="s">
        <v>21</v>
      </c>
    </row>
    <row r="38" spans="1:6" x14ac:dyDescent="0.25">
      <c r="A38" s="41" t="s">
        <v>38</v>
      </c>
      <c r="B38" s="41"/>
      <c r="C38" s="42">
        <f>Income!B8</f>
        <v>2610000</v>
      </c>
      <c r="D38" s="42">
        <f>Income!C8</f>
        <v>4176000</v>
      </c>
      <c r="E38" s="42">
        <f>Income!D8</f>
        <v>8700000</v>
      </c>
      <c r="F38" s="42">
        <f>Income!E8</f>
        <v>15660000</v>
      </c>
    </row>
    <row r="39" spans="1:6" x14ac:dyDescent="0.25">
      <c r="A39" s="41" t="s">
        <v>83</v>
      </c>
      <c r="B39" s="41"/>
      <c r="C39" s="43">
        <v>0.05</v>
      </c>
      <c r="D39" s="43">
        <v>0.05</v>
      </c>
      <c r="E39" s="43">
        <v>0.05</v>
      </c>
      <c r="F39" s="43">
        <v>0.05</v>
      </c>
    </row>
    <row r="40" spans="1:6" x14ac:dyDescent="0.25">
      <c r="A40" s="41" t="s">
        <v>82</v>
      </c>
      <c r="B40" s="41"/>
      <c r="C40" s="43">
        <v>0.06</v>
      </c>
      <c r="D40" s="43">
        <v>0.06</v>
      </c>
      <c r="E40" s="43">
        <v>0.06</v>
      </c>
      <c r="F40" s="43">
        <v>0.06</v>
      </c>
    </row>
    <row r="41" spans="1:6" x14ac:dyDescent="0.25">
      <c r="A41" s="41" t="s">
        <v>14</v>
      </c>
      <c r="B41" s="41"/>
      <c r="C41" s="43">
        <v>0.03</v>
      </c>
      <c r="D41" s="43">
        <v>0.05</v>
      </c>
      <c r="E41" s="43">
        <v>0.08</v>
      </c>
      <c r="F41" s="43">
        <v>0.1</v>
      </c>
    </row>
    <row r="42" spans="1:6" x14ac:dyDescent="0.25">
      <c r="A42" s="41"/>
      <c r="B42" s="41"/>
      <c r="C42" s="41"/>
      <c r="D42" s="41"/>
      <c r="E42" s="41"/>
      <c r="F42" s="41"/>
    </row>
    <row r="43" spans="1:6" x14ac:dyDescent="0.25">
      <c r="A43" s="41" t="s">
        <v>57</v>
      </c>
      <c r="B43" s="41"/>
      <c r="C43" s="41"/>
      <c r="D43" s="44">
        <v>1500000</v>
      </c>
      <c r="E43" s="41"/>
      <c r="F43" s="41"/>
    </row>
    <row r="44" spans="1:6" x14ac:dyDescent="0.25">
      <c r="A44" s="41" t="s">
        <v>58</v>
      </c>
      <c r="B44" s="41"/>
      <c r="C44" s="44">
        <v>600000</v>
      </c>
      <c r="D44" s="44">
        <v>900000</v>
      </c>
      <c r="E44" s="44">
        <v>900000</v>
      </c>
      <c r="F44" s="44">
        <v>900000</v>
      </c>
    </row>
    <row r="45" spans="1:6" x14ac:dyDescent="0.25">
      <c r="A45" s="41" t="s">
        <v>51</v>
      </c>
      <c r="B45" s="41"/>
      <c r="C45" s="45">
        <v>0.08</v>
      </c>
      <c r="D45" s="45">
        <v>0.08</v>
      </c>
      <c r="E45" s="45">
        <v>0.08</v>
      </c>
      <c r="F45" s="45">
        <v>0.08</v>
      </c>
    </row>
    <row r="46" spans="1:6" x14ac:dyDescent="0.25">
      <c r="A46" s="41" t="s">
        <v>84</v>
      </c>
      <c r="B46" s="41"/>
      <c r="C46" s="46">
        <f>C22*C45</f>
        <v>192000</v>
      </c>
      <c r="D46" s="46">
        <f t="shared" ref="D46:F46" si="11">D22*D45</f>
        <v>240000</v>
      </c>
      <c r="E46" s="46">
        <f t="shared" si="11"/>
        <v>168000</v>
      </c>
      <c r="F46" s="46">
        <f t="shared" si="11"/>
        <v>96000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F126-74E1-CC40-BD9E-0E5C67B97938}">
  <dimension ref="A1:E22"/>
  <sheetViews>
    <sheetView topLeftCell="A4" zoomScale="150" workbookViewId="0">
      <selection activeCell="B12" sqref="B12"/>
    </sheetView>
  </sheetViews>
  <sheetFormatPr baseColWidth="10" defaultRowHeight="16" x14ac:dyDescent="0.2"/>
  <cols>
    <col min="1" max="1" width="29.5" customWidth="1"/>
    <col min="2" max="2" width="13.33203125" bestFit="1" customWidth="1"/>
    <col min="3" max="3" width="13" bestFit="1" customWidth="1"/>
    <col min="4" max="5" width="14.1640625" bestFit="1" customWidth="1"/>
  </cols>
  <sheetData>
    <row r="1" spans="1:5" x14ac:dyDescent="0.2">
      <c r="A1" s="1" t="s">
        <v>86</v>
      </c>
      <c r="B1" s="47" t="s">
        <v>6</v>
      </c>
      <c r="C1" s="47" t="s">
        <v>88</v>
      </c>
      <c r="D1" s="47" t="s">
        <v>89</v>
      </c>
      <c r="E1" s="47" t="s">
        <v>9</v>
      </c>
    </row>
    <row r="3" spans="1:5" x14ac:dyDescent="0.2">
      <c r="A3" t="s">
        <v>87</v>
      </c>
      <c r="B3" s="3">
        <f>Income!B34</f>
        <v>276921.33333333337</v>
      </c>
      <c r="C3" s="3">
        <f>Income!C34</f>
        <v>484838.8</v>
      </c>
      <c r="D3" s="3">
        <f>Income!D34</f>
        <v>1297706.6666666665</v>
      </c>
      <c r="E3" s="3">
        <f>Income!E34</f>
        <v>2577401.333333333</v>
      </c>
    </row>
    <row r="5" spans="1:5" x14ac:dyDescent="0.2">
      <c r="A5" s="2" t="s">
        <v>59</v>
      </c>
    </row>
    <row r="6" spans="1:5" x14ac:dyDescent="0.2">
      <c r="A6" t="s">
        <v>33</v>
      </c>
      <c r="B6" s="3">
        <f>Depreciation!C13</f>
        <v>31666.666666666668</v>
      </c>
      <c r="C6" s="3">
        <f>Depreciation!D13</f>
        <v>65000</v>
      </c>
      <c r="D6" s="3">
        <f>Depreciation!E13</f>
        <v>103333.33333333334</v>
      </c>
      <c r="E6" s="3">
        <f>Depreciation!F13</f>
        <v>86666.666666666672</v>
      </c>
    </row>
    <row r="7" spans="1:5" x14ac:dyDescent="0.2">
      <c r="A7" t="s">
        <v>90</v>
      </c>
      <c r="B7" s="3">
        <f>Balance!B7-Balance!C7</f>
        <v>-10500</v>
      </c>
      <c r="C7" s="3">
        <f>Balance!C7-Balance!D7</f>
        <v>-78300</v>
      </c>
      <c r="D7" s="3">
        <f>Balance!D7-Balance!E7</f>
        <v>-226200</v>
      </c>
      <c r="E7" s="3">
        <f>Balance!E7-Balance!F7</f>
        <v>-348000</v>
      </c>
    </row>
    <row r="8" spans="1:5" x14ac:dyDescent="0.2">
      <c r="A8" t="s">
        <v>91</v>
      </c>
      <c r="B8" s="3">
        <f>Balance!C18-Balance!B18</f>
        <v>81600</v>
      </c>
      <c r="C8" s="3">
        <f>Balance!D18-Balance!C18</f>
        <v>93960</v>
      </c>
      <c r="D8" s="3">
        <f>Balance!E18-Balance!D18</f>
        <v>271440</v>
      </c>
      <c r="E8" s="3">
        <f>Balance!F18-Balance!E18</f>
        <v>417600</v>
      </c>
    </row>
    <row r="9" spans="1:5" x14ac:dyDescent="0.2">
      <c r="A9" t="s">
        <v>92</v>
      </c>
      <c r="B9" s="3">
        <f>Balance!C19-Balance!B19</f>
        <v>53300</v>
      </c>
      <c r="C9" s="3">
        <f>Balance!D19-Balance!C19</f>
        <v>130500</v>
      </c>
      <c r="D9" s="3">
        <f>Balance!E19-Balance!D19</f>
        <v>487200</v>
      </c>
      <c r="E9" s="3">
        <f>Balance!F19-Balance!E19</f>
        <v>870000</v>
      </c>
    </row>
    <row r="10" spans="1:5" x14ac:dyDescent="0.2">
      <c r="A10" s="36" t="s">
        <v>62</v>
      </c>
      <c r="B10" s="6">
        <f>B3+SUM(B6:B9)</f>
        <v>432988.00000000006</v>
      </c>
      <c r="C10" s="6">
        <f t="shared" ref="C10:E10" si="0">C3+SUM(C6:C9)</f>
        <v>695998.8</v>
      </c>
      <c r="D10" s="6">
        <f t="shared" si="0"/>
        <v>1933480</v>
      </c>
      <c r="E10" s="6">
        <f t="shared" si="0"/>
        <v>3603668</v>
      </c>
    </row>
    <row r="12" spans="1:5" x14ac:dyDescent="0.2">
      <c r="A12" s="27" t="s">
        <v>60</v>
      </c>
    </row>
    <row r="13" spans="1:5" x14ac:dyDescent="0.2">
      <c r="A13" s="35" t="s">
        <v>93</v>
      </c>
      <c r="B13" s="3">
        <f>Depreciation!C7</f>
        <v>125000</v>
      </c>
      <c r="C13" s="3">
        <f>Depreciation!D7</f>
        <v>100000</v>
      </c>
      <c r="D13" s="3">
        <f>Depreciation!E7</f>
        <v>130000</v>
      </c>
      <c r="E13" s="3">
        <f>Depreciation!F7</f>
        <v>0</v>
      </c>
    </row>
    <row r="15" spans="1:5" x14ac:dyDescent="0.2">
      <c r="A15" t="s">
        <v>63</v>
      </c>
      <c r="B15" s="37">
        <f>B10-B13</f>
        <v>307988.00000000006</v>
      </c>
      <c r="C15" s="37">
        <f t="shared" ref="C15:E15" si="1">C10-C13</f>
        <v>595998.80000000005</v>
      </c>
      <c r="D15" s="37">
        <f t="shared" si="1"/>
        <v>1803480</v>
      </c>
      <c r="E15" s="37">
        <f t="shared" si="1"/>
        <v>3603668</v>
      </c>
    </row>
    <row r="17" spans="1:5" x14ac:dyDescent="0.2">
      <c r="A17" s="27" t="s">
        <v>61</v>
      </c>
    </row>
    <row r="18" spans="1:5" x14ac:dyDescent="0.2">
      <c r="A18" s="35" t="s">
        <v>64</v>
      </c>
      <c r="B18" s="3">
        <f>-Balance!C44</f>
        <v>-600000</v>
      </c>
      <c r="C18" s="3">
        <f>-Balance!D44</f>
        <v>-900000</v>
      </c>
      <c r="D18" s="3">
        <f>-Balance!E44</f>
        <v>-900000</v>
      </c>
      <c r="E18" s="3">
        <f>-Balance!F44</f>
        <v>-900000</v>
      </c>
    </row>
    <row r="19" spans="1:5" x14ac:dyDescent="0.2">
      <c r="A19" s="35" t="s">
        <v>94</v>
      </c>
      <c r="B19" s="4">
        <f>Balance!C43</f>
        <v>0</v>
      </c>
      <c r="C19" s="4">
        <f>Balance!D43</f>
        <v>1500000</v>
      </c>
      <c r="D19" s="4">
        <f>Balance!E43</f>
        <v>0</v>
      </c>
      <c r="E19" s="4">
        <f>Balance!F43</f>
        <v>0</v>
      </c>
    </row>
    <row r="20" spans="1:5" x14ac:dyDescent="0.2">
      <c r="A20" s="38" t="s">
        <v>95</v>
      </c>
      <c r="B20" s="39">
        <f>SUM(B18:B19)</f>
        <v>-600000</v>
      </c>
      <c r="C20" s="39">
        <f t="shared" ref="C20:E20" si="2">SUM(C18:C19)</f>
        <v>600000</v>
      </c>
      <c r="D20" s="39">
        <f t="shared" si="2"/>
        <v>-900000</v>
      </c>
      <c r="E20" s="39">
        <f t="shared" si="2"/>
        <v>-900000</v>
      </c>
    </row>
    <row r="22" spans="1:5" x14ac:dyDescent="0.2">
      <c r="A22" t="s">
        <v>65</v>
      </c>
      <c r="B22" s="37">
        <f>B15+B20</f>
        <v>-292011.99999999994</v>
      </c>
      <c r="C22" s="37">
        <f t="shared" ref="C22:E22" si="3">C15+C20</f>
        <v>1195998.8</v>
      </c>
      <c r="D22" s="37">
        <f t="shared" si="3"/>
        <v>903480</v>
      </c>
      <c r="E22" s="37">
        <f t="shared" si="3"/>
        <v>2703668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Depreciation</vt:lpstr>
      <vt:lpstr>Balance</vt:lpstr>
      <vt:lpstr>CashFlowStatement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2020-06-01T20:52:29Z</dcterms:created>
  <dcterms:modified xsi:type="dcterms:W3CDTF">2021-02-24T05:10:45Z</dcterms:modified>
</cp:coreProperties>
</file>