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netcore\it_api\it_api\wwwroot\data\info\"/>
    </mc:Choice>
  </mc:AlternateContent>
  <xr:revisionPtr revIDLastSave="0" documentId="13_ncr:1_{3F9802F7-92E3-4D67-B3B4-604E18852D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ẢNG LƯƠNG T08.2024" sheetId="1" r:id="rId1"/>
    <sheet name="BHXH T8.2024" sheetId="2" r:id="rId2"/>
    <sheet name="Phiếu lương" sheetId="5" r:id="rId3"/>
    <sheet name="LƯƠNG A.N+A.V+C.L" sheetId="4" r:id="rId4"/>
  </sheets>
  <externalReferences>
    <externalReference r:id="rId5"/>
    <externalReference r:id="rId6"/>
    <externalReference r:id="rId7"/>
  </externalReferences>
  <definedNames>
    <definedName name="_xlnm._FilterDatabase" localSheetId="0" hidden="1">'BẢNG LƯƠNG T08.2024'!$A$11:$AJ$166</definedName>
    <definedName name="bangluong" localSheetId="0">'BẢNG LƯƠNG T08.2024'!$A$9:$AE$166</definedName>
    <definedName name="bangluong">'[1]BẢNG LƯƠNG T10.2022'!$A$10:$AA$20</definedName>
    <definedName name="BANGLUONGNB" localSheetId="0">#REF!</definedName>
    <definedName name="BANGLUONGNB">#REF!</definedName>
    <definedName name="BHXH" localSheetId="0">'BẢNG LƯƠNG T08.2024'!#REF!</definedName>
    <definedName name="BHXH">'[1]BẢNG LƯƠNG T10.2022'!$A$25:$M$33</definedName>
    <definedName name="_xlnm.Print_Area" localSheetId="0">'BẢNG LƯƠNG T08.2024'!$A$1:$AG$170</definedName>
    <definedName name="_xlnm.Print_Titles" localSheetId="0">'BẢNG LƯƠNG T08.2024'!$9:$10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2" i="1" l="1"/>
  <c r="H14" i="1"/>
  <c r="C7" i="5"/>
  <c r="P135" i="1" l="1"/>
  <c r="Q135" i="1" s="1"/>
  <c r="H153" i="1"/>
  <c r="I153" i="1"/>
  <c r="J153" i="1"/>
  <c r="K153" i="1"/>
  <c r="L153" i="1"/>
  <c r="M153" i="1"/>
  <c r="N153" i="1"/>
  <c r="O153" i="1"/>
  <c r="Q153" i="1"/>
  <c r="R153" i="1"/>
  <c r="S153" i="1"/>
  <c r="X153" i="1"/>
  <c r="Y153" i="1"/>
  <c r="Z153" i="1"/>
  <c r="AA153" i="1"/>
  <c r="AD153" i="1"/>
  <c r="AH153" i="1"/>
  <c r="K128" i="1"/>
  <c r="I12" i="1"/>
  <c r="J12" i="1"/>
  <c r="K12" i="1"/>
  <c r="L12" i="1"/>
  <c r="M12" i="1"/>
  <c r="N12" i="1"/>
  <c r="O12" i="1"/>
  <c r="R12" i="1"/>
  <c r="S12" i="1"/>
  <c r="X12" i="1"/>
  <c r="Y12" i="1"/>
  <c r="AH12" i="1"/>
  <c r="G12" i="1"/>
  <c r="S16" i="1"/>
  <c r="X16" i="1"/>
  <c r="Y16" i="1"/>
  <c r="AH16" i="1"/>
  <c r="I16" i="1"/>
  <c r="J16" i="1"/>
  <c r="K16" i="1"/>
  <c r="L16" i="1"/>
  <c r="M16" i="1"/>
  <c r="N16" i="1"/>
  <c r="O16" i="1"/>
  <c r="R16" i="1"/>
  <c r="G33" i="1"/>
  <c r="G128" i="1"/>
  <c r="AH128" i="1"/>
  <c r="Y128" i="1"/>
  <c r="Z128" i="1"/>
  <c r="U128" i="1"/>
  <c r="V128" i="1"/>
  <c r="X128" i="1"/>
  <c r="R128" i="1"/>
  <c r="S128" i="1"/>
  <c r="L128" i="1"/>
  <c r="M128" i="1"/>
  <c r="N128" i="1"/>
  <c r="O128" i="1"/>
  <c r="I128" i="1"/>
  <c r="J128" i="1"/>
  <c r="H128" i="1"/>
  <c r="G16" i="1"/>
  <c r="S166" i="1" l="1"/>
  <c r="T135" i="1"/>
  <c r="D30" i="2"/>
  <c r="E30" i="2" s="1"/>
  <c r="H32" i="1"/>
  <c r="AD32" i="1" s="1"/>
  <c r="V31" i="1"/>
  <c r="U31" i="1"/>
  <c r="P31" i="1"/>
  <c r="Q31" i="1" s="1"/>
  <c r="T31" i="1" s="1"/>
  <c r="H31" i="1"/>
  <c r="AD31" i="1" s="1"/>
  <c r="P103" i="1"/>
  <c r="Q103" i="1" s="1"/>
  <c r="H103" i="1"/>
  <c r="AD103" i="1" s="1"/>
  <c r="H85" i="1"/>
  <c r="AA85" i="1" s="1"/>
  <c r="H86" i="1"/>
  <c r="D92" i="2"/>
  <c r="O92" i="2" s="1"/>
  <c r="H95" i="1"/>
  <c r="AA95" i="1" s="1"/>
  <c r="P56" i="1"/>
  <c r="Q56" i="1" s="1"/>
  <c r="P57" i="1"/>
  <c r="Q57" i="1" s="1"/>
  <c r="H56" i="1"/>
  <c r="AD56" i="1" s="1"/>
  <c r="AD128" i="1"/>
  <c r="H25" i="1"/>
  <c r="AD25" i="1" s="1"/>
  <c r="H127" i="1"/>
  <c r="AD127" i="1" s="1"/>
  <c r="V126" i="1"/>
  <c r="P126" i="1"/>
  <c r="H126" i="1"/>
  <c r="AD126" i="1" s="1"/>
  <c r="AA32" i="1" l="1"/>
  <c r="D29" i="2"/>
  <c r="O29" i="2" s="1"/>
  <c r="W135" i="1"/>
  <c r="AB135" i="1" s="1"/>
  <c r="AC135" i="1" s="1"/>
  <c r="F30" i="2"/>
  <c r="G30" i="2"/>
  <c r="AA31" i="1"/>
  <c r="W31" i="1"/>
  <c r="AA103" i="1"/>
  <c r="D53" i="2"/>
  <c r="O53" i="2" s="1"/>
  <c r="D99" i="2"/>
  <c r="E99" i="2" s="1"/>
  <c r="AD85" i="1"/>
  <c r="D23" i="2"/>
  <c r="O23" i="2" s="1"/>
  <c r="D83" i="2"/>
  <c r="AD95" i="1"/>
  <c r="F92" i="2"/>
  <c r="I92" i="2"/>
  <c r="J92" i="2"/>
  <c r="K92" i="2"/>
  <c r="E92" i="2"/>
  <c r="N92" i="2"/>
  <c r="AA56" i="1"/>
  <c r="G92" i="2"/>
  <c r="AA128" i="1"/>
  <c r="AA127" i="1"/>
  <c r="AA25" i="1"/>
  <c r="Q126" i="1"/>
  <c r="T126" i="1" s="1"/>
  <c r="W126" i="1" s="1"/>
  <c r="AA126" i="1"/>
  <c r="P146" i="1"/>
  <c r="Q146" i="1" s="1"/>
  <c r="T146" i="1" s="1"/>
  <c r="P147" i="1"/>
  <c r="P148" i="1"/>
  <c r="P149" i="1"/>
  <c r="P150" i="1"/>
  <c r="P151" i="1"/>
  <c r="P129" i="1"/>
  <c r="P130" i="1"/>
  <c r="Q130" i="1" s="1"/>
  <c r="T130" i="1" s="1"/>
  <c r="AI164" i="1"/>
  <c r="T164" i="1"/>
  <c r="AE164" i="1" s="1"/>
  <c r="P134" i="1"/>
  <c r="Q134" i="1" s="1"/>
  <c r="J29" i="2" l="1"/>
  <c r="I29" i="2"/>
  <c r="N29" i="2"/>
  <c r="E29" i="2"/>
  <c r="F29" i="2"/>
  <c r="G29" i="2"/>
  <c r="AB31" i="1"/>
  <c r="AC31" i="1" s="1"/>
  <c r="AI31" i="1" s="1"/>
  <c r="K29" i="2"/>
  <c r="L29" i="2" s="1"/>
  <c r="Q129" i="1"/>
  <c r="E53" i="2"/>
  <c r="K53" i="2"/>
  <c r="J53" i="2"/>
  <c r="N23" i="2"/>
  <c r="G23" i="2"/>
  <c r="I53" i="2"/>
  <c r="E23" i="2"/>
  <c r="F53" i="2"/>
  <c r="N53" i="2"/>
  <c r="G53" i="2"/>
  <c r="F99" i="2"/>
  <c r="O99" i="2"/>
  <c r="I99" i="2"/>
  <c r="K99" i="2"/>
  <c r="N99" i="2"/>
  <c r="G99" i="2"/>
  <c r="J99" i="2"/>
  <c r="J23" i="2"/>
  <c r="I23" i="2"/>
  <c r="F23" i="2"/>
  <c r="K23" i="2"/>
  <c r="O83" i="2"/>
  <c r="F83" i="2"/>
  <c r="K83" i="2"/>
  <c r="J83" i="2"/>
  <c r="E83" i="2"/>
  <c r="N83" i="2"/>
  <c r="I83" i="2"/>
  <c r="G83" i="2"/>
  <c r="H92" i="2"/>
  <c r="L92" i="2"/>
  <c r="AB126" i="1"/>
  <c r="AC126" i="1" s="1"/>
  <c r="AI126" i="1" s="1"/>
  <c r="W146" i="1"/>
  <c r="AB146" i="1" s="1"/>
  <c r="AC146" i="1" s="1"/>
  <c r="AI146" i="1" s="1"/>
  <c r="Q149" i="1"/>
  <c r="T149" i="1" s="1"/>
  <c r="Q147" i="1"/>
  <c r="T147" i="1" s="1"/>
  <c r="Q148" i="1"/>
  <c r="T148" i="1" s="1"/>
  <c r="Q150" i="1"/>
  <c r="T150" i="1" s="1"/>
  <c r="W150" i="1" s="1"/>
  <c r="AB150" i="1" s="1"/>
  <c r="AC150" i="1" s="1"/>
  <c r="AI150" i="1" s="1"/>
  <c r="W130" i="1"/>
  <c r="AB130" i="1" s="1"/>
  <c r="AC130" i="1" s="1"/>
  <c r="AI130" i="1" s="1"/>
  <c r="AF164" i="1"/>
  <c r="AG164" i="1" s="1"/>
  <c r="W164" i="1"/>
  <c r="AB164" i="1" s="1"/>
  <c r="T134" i="1"/>
  <c r="H29" i="2" l="1"/>
  <c r="AE31" i="1"/>
  <c r="H23" i="2"/>
  <c r="T129" i="1"/>
  <c r="L53" i="2"/>
  <c r="AE135" i="1"/>
  <c r="H53" i="2"/>
  <c r="L83" i="2"/>
  <c r="H99" i="2"/>
  <c r="AF31" i="1"/>
  <c r="AG31" i="1" s="1"/>
  <c r="L23" i="2"/>
  <c r="L99" i="2"/>
  <c r="H83" i="2"/>
  <c r="AE126" i="1"/>
  <c r="AF126" i="1" s="1"/>
  <c r="AG126" i="1" s="1"/>
  <c r="W148" i="1"/>
  <c r="AB148" i="1" s="1"/>
  <c r="AC148" i="1" s="1"/>
  <c r="AI148" i="1" s="1"/>
  <c r="W147" i="1"/>
  <c r="AB147" i="1" s="1"/>
  <c r="AC147" i="1" s="1"/>
  <c r="AI147" i="1" s="1"/>
  <c r="W149" i="1"/>
  <c r="AB149" i="1" s="1"/>
  <c r="AC149" i="1" s="1"/>
  <c r="AI149" i="1" s="1"/>
  <c r="AE146" i="1"/>
  <c r="AE150" i="1"/>
  <c r="AE130" i="1"/>
  <c r="W134" i="1"/>
  <c r="AB134" i="1" s="1"/>
  <c r="AC134" i="1" l="1"/>
  <c r="AI134" i="1" s="1"/>
  <c r="W129" i="1"/>
  <c r="AF135" i="1"/>
  <c r="AE149" i="1"/>
  <c r="AF149" i="1" s="1"/>
  <c r="AG149" i="1" s="1"/>
  <c r="AE147" i="1"/>
  <c r="AF147" i="1" s="1"/>
  <c r="AG147" i="1" s="1"/>
  <c r="AE148" i="1"/>
  <c r="AF148" i="1" s="1"/>
  <c r="AG148" i="1" s="1"/>
  <c r="AF150" i="1"/>
  <c r="AG150" i="1" s="1"/>
  <c r="AF130" i="1"/>
  <c r="AG130" i="1" s="1"/>
  <c r="AF146" i="1"/>
  <c r="AG146" i="1" s="1"/>
  <c r="AE134" i="1"/>
  <c r="AB129" i="1" l="1"/>
  <c r="AF134" i="1"/>
  <c r="AG134" i="1" s="1"/>
  <c r="AC129" i="1" l="1"/>
  <c r="I33" i="1"/>
  <c r="I166" i="1" s="1"/>
  <c r="J33" i="1"/>
  <c r="J166" i="1" s="1"/>
  <c r="K33" i="1"/>
  <c r="K166" i="1" s="1"/>
  <c r="L33" i="1"/>
  <c r="L166" i="1" s="1"/>
  <c r="M33" i="1"/>
  <c r="M166" i="1" s="1"/>
  <c r="N33" i="1"/>
  <c r="N166" i="1" s="1"/>
  <c r="O33" i="1"/>
  <c r="O166" i="1" s="1"/>
  <c r="R33" i="1"/>
  <c r="R166" i="1" s="1"/>
  <c r="X33" i="1"/>
  <c r="X166" i="1" s="1"/>
  <c r="Y33" i="1"/>
  <c r="Y166" i="1" s="1"/>
  <c r="AH33" i="1"/>
  <c r="AH166" i="1" s="1"/>
  <c r="AI129" i="1" l="1"/>
  <c r="AE129" i="1"/>
  <c r="AD15" i="1"/>
  <c r="AF129" i="1" l="1"/>
  <c r="H84" i="1"/>
  <c r="D81" i="2" s="1"/>
  <c r="O81" i="2" s="1"/>
  <c r="AG129" i="1" l="1"/>
  <c r="AA84" i="1"/>
  <c r="AD84" i="1"/>
  <c r="K81" i="2"/>
  <c r="F81" i="2"/>
  <c r="E81" i="2"/>
  <c r="N81" i="2"/>
  <c r="J81" i="2"/>
  <c r="I81" i="2"/>
  <c r="G81" i="2"/>
  <c r="L81" i="2" l="1"/>
  <c r="H81" i="2"/>
  <c r="H83" i="1" l="1"/>
  <c r="D82" i="2" s="1"/>
  <c r="P94" i="1"/>
  <c r="Q94" i="1" s="1"/>
  <c r="H94" i="1"/>
  <c r="AD94" i="1" s="1"/>
  <c r="D91" i="2" l="1"/>
  <c r="E91" i="2" s="1"/>
  <c r="N82" i="2"/>
  <c r="O82" i="2"/>
  <c r="J82" i="2"/>
  <c r="K82" i="2"/>
  <c r="F82" i="2"/>
  <c r="I82" i="2"/>
  <c r="G82" i="2"/>
  <c r="E82" i="2"/>
  <c r="AA83" i="1"/>
  <c r="AD83" i="1"/>
  <c r="T94" i="1"/>
  <c r="W94" i="1" s="1"/>
  <c r="AA94" i="1"/>
  <c r="L82" i="2" l="1"/>
  <c r="H82" i="2"/>
  <c r="J91" i="2"/>
  <c r="K91" i="2"/>
  <c r="F91" i="2"/>
  <c r="G91" i="2"/>
  <c r="I91" i="2"/>
  <c r="N91" i="2"/>
  <c r="O91" i="2"/>
  <c r="AB94" i="1"/>
  <c r="AC94" i="1" s="1"/>
  <c r="H91" i="2" l="1"/>
  <c r="L91" i="2"/>
  <c r="AI94" i="1"/>
  <c r="AE94" i="1"/>
  <c r="AF94" i="1" l="1"/>
  <c r="AG94" i="1" s="1"/>
  <c r="H93" i="1" l="1"/>
  <c r="D90" i="2" s="1"/>
  <c r="N90" i="2" l="1"/>
  <c r="O90" i="2"/>
  <c r="G90" i="2"/>
  <c r="I90" i="2"/>
  <c r="K90" i="2"/>
  <c r="E90" i="2"/>
  <c r="F90" i="2"/>
  <c r="J90" i="2"/>
  <c r="AA93" i="1"/>
  <c r="AD93" i="1"/>
  <c r="H90" i="2" l="1"/>
  <c r="L90" i="2"/>
  <c r="H92" i="1" l="1"/>
  <c r="AD92" i="1" s="1"/>
  <c r="D89" i="2" l="1"/>
  <c r="N89" i="2" s="1"/>
  <c r="AA92" i="1"/>
  <c r="H91" i="1"/>
  <c r="D88" i="2" s="1"/>
  <c r="O87" i="2"/>
  <c r="N87" i="2"/>
  <c r="K87" i="2"/>
  <c r="J87" i="2"/>
  <c r="I87" i="2"/>
  <c r="G87" i="2"/>
  <c r="F87" i="2"/>
  <c r="E87" i="2"/>
  <c r="E89" i="2" l="1"/>
  <c r="G89" i="2"/>
  <c r="I89" i="2"/>
  <c r="J89" i="2"/>
  <c r="K89" i="2"/>
  <c r="O89" i="2"/>
  <c r="F89" i="2"/>
  <c r="H87" i="2"/>
  <c r="L87" i="2"/>
  <c r="AA91" i="1"/>
  <c r="AD91" i="1"/>
  <c r="N88" i="2"/>
  <c r="K88" i="2"/>
  <c r="I88" i="2"/>
  <c r="O88" i="2"/>
  <c r="J88" i="2"/>
  <c r="G88" i="2"/>
  <c r="F88" i="2"/>
  <c r="E88" i="2"/>
  <c r="P22" i="1"/>
  <c r="Q22" i="1" s="1"/>
  <c r="H22" i="1"/>
  <c r="D18" i="2" s="1"/>
  <c r="H29" i="1"/>
  <c r="D27" i="2" s="1"/>
  <c r="P109" i="1"/>
  <c r="Q109" i="1" s="1"/>
  <c r="H109" i="1"/>
  <c r="D105" i="2" s="1"/>
  <c r="O105" i="2" s="1"/>
  <c r="H125" i="1"/>
  <c r="H65" i="1"/>
  <c r="AD65" i="1" s="1"/>
  <c r="AA125" i="1" l="1"/>
  <c r="D123" i="2"/>
  <c r="L89" i="2"/>
  <c r="H89" i="2"/>
  <c r="D124" i="2"/>
  <c r="O124" i="2" s="1"/>
  <c r="N18" i="2"/>
  <c r="K18" i="2"/>
  <c r="I18" i="2"/>
  <c r="E18" i="2"/>
  <c r="J18" i="2"/>
  <c r="G18" i="2"/>
  <c r="F18" i="2"/>
  <c r="O18" i="2"/>
  <c r="AD22" i="1"/>
  <c r="AA22" i="1"/>
  <c r="H88" i="2"/>
  <c r="L88" i="2"/>
  <c r="AD125" i="1"/>
  <c r="O27" i="2"/>
  <c r="N27" i="2"/>
  <c r="K27" i="2"/>
  <c r="J27" i="2"/>
  <c r="I27" i="2"/>
  <c r="E27" i="2"/>
  <c r="G27" i="2"/>
  <c r="F27" i="2"/>
  <c r="AA29" i="1"/>
  <c r="AD29" i="1"/>
  <c r="AA109" i="1"/>
  <c r="AD109" i="1"/>
  <c r="D62" i="2"/>
  <c r="O62" i="2" s="1"/>
  <c r="J105" i="2"/>
  <c r="I105" i="2"/>
  <c r="F105" i="2"/>
  <c r="G105" i="2"/>
  <c r="N105" i="2"/>
  <c r="K105" i="2"/>
  <c r="E105" i="2"/>
  <c r="AA65" i="1"/>
  <c r="O123" i="2" l="1"/>
  <c r="G123" i="2"/>
  <c r="J123" i="2"/>
  <c r="K123" i="2"/>
  <c r="N123" i="2"/>
  <c r="F123" i="2"/>
  <c r="I123" i="2"/>
  <c r="E123" i="2"/>
  <c r="L105" i="2"/>
  <c r="F124" i="2"/>
  <c r="I124" i="2"/>
  <c r="G124" i="2"/>
  <c r="N124" i="2"/>
  <c r="K124" i="2"/>
  <c r="E124" i="2"/>
  <c r="J124" i="2"/>
  <c r="H18" i="2"/>
  <c r="L18" i="2"/>
  <c r="H105" i="2"/>
  <c r="L27" i="2"/>
  <c r="N62" i="2"/>
  <c r="H27" i="2"/>
  <c r="I62" i="2"/>
  <c r="G62" i="2"/>
  <c r="F62" i="2"/>
  <c r="K62" i="2"/>
  <c r="E62" i="2"/>
  <c r="J62" i="2"/>
  <c r="H123" i="2" l="1"/>
  <c r="L123" i="2"/>
  <c r="L124" i="2"/>
  <c r="H124" i="2"/>
  <c r="H62" i="2"/>
  <c r="L62" i="2"/>
  <c r="H104" i="1" l="1"/>
  <c r="H102" i="1"/>
  <c r="D98" i="2" s="1"/>
  <c r="AD104" i="1" l="1"/>
  <c r="D100" i="2"/>
  <c r="AA104" i="1"/>
  <c r="D122" i="2"/>
  <c r="O98" i="2"/>
  <c r="K98" i="2"/>
  <c r="F98" i="2"/>
  <c r="I98" i="2"/>
  <c r="N98" i="2"/>
  <c r="E98" i="2"/>
  <c r="J98" i="2"/>
  <c r="G98" i="2"/>
  <c r="AA102" i="1"/>
  <c r="AD102" i="1"/>
  <c r="J100" i="2" l="1"/>
  <c r="O100" i="2"/>
  <c r="I100" i="2"/>
  <c r="N100" i="2"/>
  <c r="K100" i="2"/>
  <c r="O122" i="2"/>
  <c r="N122" i="2"/>
  <c r="G122" i="2"/>
  <c r="E122" i="2"/>
  <c r="I122" i="2"/>
  <c r="K122" i="2"/>
  <c r="F122" i="2"/>
  <c r="J122" i="2"/>
  <c r="H98" i="2"/>
  <c r="L98" i="2"/>
  <c r="E100" i="2"/>
  <c r="F100" i="2"/>
  <c r="G100" i="2"/>
  <c r="H100" i="2" l="1"/>
  <c r="L100" i="2"/>
  <c r="L122" i="2"/>
  <c r="H122" i="2"/>
  <c r="P139" i="1" l="1"/>
  <c r="P83" i="1"/>
  <c r="P84" i="1"/>
  <c r="P91" i="1"/>
  <c r="P92" i="1"/>
  <c r="P93" i="1"/>
  <c r="P65" i="1"/>
  <c r="Q65" i="1" s="1"/>
  <c r="P90" i="1"/>
  <c r="Q90" i="1" s="1"/>
  <c r="H90" i="1"/>
  <c r="AA90" i="1" s="1"/>
  <c r="Q84" i="1" l="1"/>
  <c r="T84" i="1" s="1"/>
  <c r="W84" i="1" s="1"/>
  <c r="AB84" i="1" s="1"/>
  <c r="AC84" i="1" s="1"/>
  <c r="Q139" i="1"/>
  <c r="T139" i="1" s="1"/>
  <c r="W139" i="1" s="1"/>
  <c r="AB139" i="1" s="1"/>
  <c r="AC139" i="1" s="1"/>
  <c r="Q83" i="1"/>
  <c r="T83" i="1" s="1"/>
  <c r="W83" i="1" s="1"/>
  <c r="AB83" i="1" s="1"/>
  <c r="AC83" i="1" s="1"/>
  <c r="Q93" i="1"/>
  <c r="T93" i="1" s="1"/>
  <c r="W93" i="1" s="1"/>
  <c r="AB93" i="1" s="1"/>
  <c r="AC93" i="1" s="1"/>
  <c r="Q92" i="1"/>
  <c r="T92" i="1" s="1"/>
  <c r="Q91" i="1"/>
  <c r="T91" i="1" s="1"/>
  <c r="AD90" i="1"/>
  <c r="AE84" i="1" l="1"/>
  <c r="AI84" i="1"/>
  <c r="AE139" i="1"/>
  <c r="AI139" i="1"/>
  <c r="AE83" i="1"/>
  <c r="AI83" i="1"/>
  <c r="AE93" i="1"/>
  <c r="AI93" i="1"/>
  <c r="W92" i="1"/>
  <c r="AB92" i="1" s="1"/>
  <c r="AC92" i="1" s="1"/>
  <c r="AI92" i="1" s="1"/>
  <c r="W91" i="1"/>
  <c r="AB91" i="1" s="1"/>
  <c r="AC91" i="1" s="1"/>
  <c r="AI91" i="1" s="1"/>
  <c r="T157" i="1"/>
  <c r="W157" i="1" s="1"/>
  <c r="AB157" i="1" s="1"/>
  <c r="P161" i="1"/>
  <c r="T161" i="1" s="1"/>
  <c r="P131" i="1"/>
  <c r="P132" i="1"/>
  <c r="AA15" i="1"/>
  <c r="Z15" i="1"/>
  <c r="P15" i="1"/>
  <c r="Z14" i="1"/>
  <c r="V14" i="1"/>
  <c r="U14" i="1"/>
  <c r="P14" i="1"/>
  <c r="AD14" i="1"/>
  <c r="Z86" i="1"/>
  <c r="Z96" i="1"/>
  <c r="AF139" i="1" l="1"/>
  <c r="AG139" i="1" s="1"/>
  <c r="Q132" i="1"/>
  <c r="T132" i="1" s="1"/>
  <c r="W132" i="1" s="1"/>
  <c r="AB132" i="1" s="1"/>
  <c r="AC132" i="1" s="1"/>
  <c r="AI132" i="1" s="1"/>
  <c r="Q131" i="1"/>
  <c r="AF84" i="1"/>
  <c r="AG84" i="1" s="1"/>
  <c r="AF83" i="1"/>
  <c r="AG83" i="1" s="1"/>
  <c r="AF93" i="1"/>
  <c r="AG93" i="1" s="1"/>
  <c r="AE92" i="1"/>
  <c r="AE91" i="1"/>
  <c r="AC157" i="1"/>
  <c r="AI157" i="1" s="1"/>
  <c r="AC161" i="1"/>
  <c r="AI161" i="1" s="1"/>
  <c r="W161" i="1"/>
  <c r="AB161" i="1" s="1"/>
  <c r="Q15" i="1"/>
  <c r="T15" i="1" s="1"/>
  <c r="AA14" i="1"/>
  <c r="Q14" i="1"/>
  <c r="T14" i="1" s="1"/>
  <c r="AD86" i="1"/>
  <c r="P86" i="1"/>
  <c r="P133" i="1"/>
  <c r="Q133" i="1" s="1"/>
  <c r="P32" i="1"/>
  <c r="Q32" i="1" s="1"/>
  <c r="T131" i="1" l="1"/>
  <c r="W131" i="1" s="1"/>
  <c r="AE132" i="1"/>
  <c r="D84" i="2"/>
  <c r="AF92" i="1"/>
  <c r="AG92" i="1" s="1"/>
  <c r="AF91" i="1"/>
  <c r="AG91" i="1" s="1"/>
  <c r="AA86" i="1"/>
  <c r="AE157" i="1"/>
  <c r="AE161" i="1"/>
  <c r="W15" i="1"/>
  <c r="W14" i="1"/>
  <c r="AB14" i="1" s="1"/>
  <c r="T133" i="1"/>
  <c r="AB131" i="1" l="1"/>
  <c r="AC14" i="1"/>
  <c r="AI14" i="1" s="1"/>
  <c r="O84" i="2"/>
  <c r="N84" i="2"/>
  <c r="K84" i="2"/>
  <c r="W133" i="1"/>
  <c r="AB133" i="1" s="1"/>
  <c r="AC133" i="1" s="1"/>
  <c r="AI133" i="1" s="1"/>
  <c r="J84" i="2"/>
  <c r="AB15" i="1"/>
  <c r="AC15" i="1" s="1"/>
  <c r="AE15" i="1" s="1"/>
  <c r="I84" i="2"/>
  <c r="G84" i="2"/>
  <c r="AF132" i="1"/>
  <c r="AG132" i="1" s="1"/>
  <c r="F84" i="2"/>
  <c r="E84" i="2"/>
  <c r="AF157" i="1"/>
  <c r="AG157" i="1" s="1"/>
  <c r="AF161" i="1"/>
  <c r="AG161" i="1" s="1"/>
  <c r="AE14" i="1"/>
  <c r="T32" i="1"/>
  <c r="L84" i="2" l="1"/>
  <c r="AC131" i="1"/>
  <c r="H84" i="2"/>
  <c r="AE133" i="1"/>
  <c r="AF133" i="1" s="1"/>
  <c r="AG133" i="1" s="1"/>
  <c r="AI15" i="1"/>
  <c r="AF15" i="1"/>
  <c r="AG15" i="1" s="1"/>
  <c r="AF14" i="1"/>
  <c r="AF12" i="1" s="1"/>
  <c r="W32" i="1"/>
  <c r="AB32" i="1" s="1"/>
  <c r="AC32" i="1" s="1"/>
  <c r="AI32" i="1" s="1"/>
  <c r="AI131" i="1" l="1"/>
  <c r="AE131" i="1"/>
  <c r="AE32" i="1"/>
  <c r="AG14" i="1"/>
  <c r="AF32" i="1" l="1"/>
  <c r="AG32" i="1"/>
  <c r="AF131" i="1"/>
  <c r="AG131" i="1"/>
  <c r="P85" i="1"/>
  <c r="Q85" i="1" s="1"/>
  <c r="P95" i="1"/>
  <c r="P136" i="1"/>
  <c r="P137" i="1"/>
  <c r="Q137" i="1" s="1"/>
  <c r="T137" i="1" s="1"/>
  <c r="P138" i="1"/>
  <c r="Q136" i="1" l="1"/>
  <c r="T85" i="1"/>
  <c r="Q95" i="1"/>
  <c r="T95" i="1" s="1"/>
  <c r="Q138" i="1"/>
  <c r="T138" i="1" s="1"/>
  <c r="W137" i="1"/>
  <c r="AB137" i="1" s="1"/>
  <c r="AC137" i="1" l="1"/>
  <c r="AI137" i="1" s="1"/>
  <c r="T136" i="1"/>
  <c r="W85" i="1"/>
  <c r="AB85" i="1" s="1"/>
  <c r="AC85" i="1" s="1"/>
  <c r="AI85" i="1" s="1"/>
  <c r="W138" i="1"/>
  <c r="AB138" i="1" s="1"/>
  <c r="W95" i="1"/>
  <c r="AB95" i="1" s="1"/>
  <c r="AC95" i="1" s="1"/>
  <c r="AI95" i="1" s="1"/>
  <c r="AE137" i="1"/>
  <c r="AF137" i="1" s="1"/>
  <c r="AG137" i="1" s="1"/>
  <c r="AC138" i="1" l="1"/>
  <c r="AI138" i="1" s="1"/>
  <c r="W136" i="1"/>
  <c r="AE85" i="1"/>
  <c r="AF85" i="1" s="1"/>
  <c r="AG85" i="1" s="1"/>
  <c r="AE95" i="1"/>
  <c r="AE138" i="1"/>
  <c r="AB136" i="1" l="1"/>
  <c r="AC136" i="1" s="1"/>
  <c r="AF95" i="1"/>
  <c r="AG95" i="1" s="1"/>
  <c r="AF138" i="1"/>
  <c r="AG138" i="1" s="1"/>
  <c r="P143" i="1"/>
  <c r="Q143" i="1" s="1"/>
  <c r="P144" i="1"/>
  <c r="P145" i="1"/>
  <c r="AI162" i="1"/>
  <c r="T162" i="1"/>
  <c r="AE162" i="1" s="1"/>
  <c r="Q145" i="1" l="1"/>
  <c r="T145" i="1" s="1"/>
  <c r="Q144" i="1"/>
  <c r="T144" i="1" s="1"/>
  <c r="AF162" i="1"/>
  <c r="AG162" i="1" s="1"/>
  <c r="T143" i="1"/>
  <c r="W143" i="1" s="1"/>
  <c r="AB143" i="1" s="1"/>
  <c r="AC143" i="1" s="1"/>
  <c r="W162" i="1"/>
  <c r="AB162" i="1" s="1"/>
  <c r="P160" i="1"/>
  <c r="T160" i="1" s="1"/>
  <c r="AC160" i="1" s="1"/>
  <c r="AI160" i="1" s="1"/>
  <c r="AE136" i="1" l="1"/>
  <c r="AI136" i="1"/>
  <c r="W145" i="1"/>
  <c r="AB145" i="1" s="1"/>
  <c r="AC145" i="1" s="1"/>
  <c r="AI145" i="1" s="1"/>
  <c r="W144" i="1"/>
  <c r="AB144" i="1" s="1"/>
  <c r="AC144" i="1" s="1"/>
  <c r="AI144" i="1" s="1"/>
  <c r="AE143" i="1"/>
  <c r="AI143" i="1"/>
  <c r="AE160" i="1"/>
  <c r="W160" i="1"/>
  <c r="AB160" i="1" s="1"/>
  <c r="P158" i="1"/>
  <c r="T158" i="1" s="1"/>
  <c r="W158" i="1" s="1"/>
  <c r="AB158" i="1" s="1"/>
  <c r="P159" i="1"/>
  <c r="T159" i="1" s="1"/>
  <c r="AC159" i="1" s="1"/>
  <c r="P140" i="1"/>
  <c r="Q140" i="1" s="1"/>
  <c r="P141" i="1"/>
  <c r="Q141" i="1" s="1"/>
  <c r="T56" i="1"/>
  <c r="P142" i="1"/>
  <c r="Q151" i="1"/>
  <c r="P152" i="1"/>
  <c r="V104" i="1"/>
  <c r="U104" i="1"/>
  <c r="P104" i="1"/>
  <c r="Q104" i="1" s="1"/>
  <c r="H99" i="1"/>
  <c r="Q152" i="1" l="1"/>
  <c r="P128" i="1"/>
  <c r="Q142" i="1"/>
  <c r="T142" i="1" s="1"/>
  <c r="AF136" i="1"/>
  <c r="AG136" i="1"/>
  <c r="W56" i="1"/>
  <c r="AB56" i="1" s="1"/>
  <c r="AC56" i="1" s="1"/>
  <c r="AI56" i="1" s="1"/>
  <c r="T141" i="1"/>
  <c r="AE144" i="1"/>
  <c r="AF144" i="1" s="1"/>
  <c r="AG144" i="1" s="1"/>
  <c r="AE145" i="1"/>
  <c r="AF145" i="1" s="1"/>
  <c r="AG145" i="1" s="1"/>
  <c r="AF143" i="1"/>
  <c r="AG143" i="1" s="1"/>
  <c r="AF160" i="1"/>
  <c r="AG160" i="1" s="1"/>
  <c r="AE159" i="1"/>
  <c r="AI159" i="1"/>
  <c r="W159" i="1"/>
  <c r="AB159" i="1" s="1"/>
  <c r="AC158" i="1"/>
  <c r="AI158" i="1" s="1"/>
  <c r="T103" i="1"/>
  <c r="T140" i="1"/>
  <c r="T152" i="1"/>
  <c r="T151" i="1"/>
  <c r="T104" i="1"/>
  <c r="G155" i="1"/>
  <c r="G153" i="1" s="1"/>
  <c r="G166" i="1" s="1"/>
  <c r="W142" i="1" l="1"/>
  <c r="AB142" i="1" s="1"/>
  <c r="AC142" i="1" s="1"/>
  <c r="AI142" i="1" s="1"/>
  <c r="T128" i="1"/>
  <c r="Q128" i="1"/>
  <c r="AE56" i="1"/>
  <c r="AF56" i="1" s="1"/>
  <c r="W141" i="1"/>
  <c r="AB141" i="1" s="1"/>
  <c r="AC141" i="1" s="1"/>
  <c r="AI141" i="1" s="1"/>
  <c r="AF159" i="1"/>
  <c r="AG159" i="1" s="1"/>
  <c r="AE158" i="1"/>
  <c r="W103" i="1"/>
  <c r="W140" i="1"/>
  <c r="W151" i="1"/>
  <c r="AB151" i="1" s="1"/>
  <c r="AC151" i="1" s="1"/>
  <c r="AI151" i="1" s="1"/>
  <c r="W152" i="1"/>
  <c r="AB152" i="1" s="1"/>
  <c r="AC152" i="1" s="1"/>
  <c r="AI152" i="1" s="1"/>
  <c r="W104" i="1"/>
  <c r="AB104" i="1" s="1"/>
  <c r="AC104" i="1" s="1"/>
  <c r="AI104" i="1" s="1"/>
  <c r="Q86" i="1"/>
  <c r="AE142" i="1" l="1"/>
  <c r="AF142" i="1" s="1"/>
  <c r="AG142" i="1" s="1"/>
  <c r="AE141" i="1"/>
  <c r="AB140" i="1"/>
  <c r="W128" i="1"/>
  <c r="AB103" i="1"/>
  <c r="AC103" i="1" s="1"/>
  <c r="AE103" i="1" s="1"/>
  <c r="AF103" i="1" s="1"/>
  <c r="AG103" i="1" s="1"/>
  <c r="AE104" i="1"/>
  <c r="AG56" i="1"/>
  <c r="AE151" i="1"/>
  <c r="AF158" i="1"/>
  <c r="AG158" i="1" s="1"/>
  <c r="AE152" i="1"/>
  <c r="AF152" i="1" s="1"/>
  <c r="P25" i="1"/>
  <c r="P127" i="1"/>
  <c r="Q127" i="1" s="1"/>
  <c r="AF141" i="1" l="1"/>
  <c r="AG141" i="1" s="1"/>
  <c r="AG152" i="1"/>
  <c r="AC140" i="1"/>
  <c r="AB128" i="1"/>
  <c r="AF104" i="1"/>
  <c r="AG104" i="1" s="1"/>
  <c r="AI103" i="1"/>
  <c r="Q25" i="1"/>
  <c r="T25" i="1" s="1"/>
  <c r="W25" i="1" s="1"/>
  <c r="AB25" i="1" s="1"/>
  <c r="AC25" i="1" s="1"/>
  <c r="AI25" i="1" s="1"/>
  <c r="AF151" i="1"/>
  <c r="AG151" i="1" s="1"/>
  <c r="T22" i="1"/>
  <c r="AI140" i="1" l="1"/>
  <c r="AI128" i="1" s="1"/>
  <c r="AC128" i="1"/>
  <c r="AE140" i="1"/>
  <c r="T127" i="1"/>
  <c r="AE25" i="1"/>
  <c r="W22" i="1"/>
  <c r="AB22" i="1" s="1"/>
  <c r="AC22" i="1" s="1"/>
  <c r="AE128" i="1" l="1"/>
  <c r="AF140" i="1"/>
  <c r="W127" i="1"/>
  <c r="AB127" i="1" s="1"/>
  <c r="AC127" i="1" s="1"/>
  <c r="AI127" i="1" s="1"/>
  <c r="AF25" i="1"/>
  <c r="AG25" i="1" s="1"/>
  <c r="AE22" i="1"/>
  <c r="AG140" i="1" l="1"/>
  <c r="AG128" i="1" s="1"/>
  <c r="AF128" i="1"/>
  <c r="AE127" i="1"/>
  <c r="AF127" i="1" s="1"/>
  <c r="AG127" i="1" s="1"/>
  <c r="AF22" i="1"/>
  <c r="AG22" i="1" s="1"/>
  <c r="Z26" i="1" l="1"/>
  <c r="P26" i="1"/>
  <c r="Q26" i="1" s="1"/>
  <c r="H26" i="1"/>
  <c r="Z114" i="1"/>
  <c r="A4" i="5"/>
  <c r="O104" i="2"/>
  <c r="N104" i="2"/>
  <c r="K104" i="2"/>
  <c r="J104" i="2"/>
  <c r="I104" i="2"/>
  <c r="G104" i="2"/>
  <c r="F104" i="2"/>
  <c r="E104" i="2"/>
  <c r="O86" i="2"/>
  <c r="N86" i="2"/>
  <c r="K86" i="2"/>
  <c r="J86" i="2"/>
  <c r="I86" i="2"/>
  <c r="G86" i="2"/>
  <c r="F86" i="2"/>
  <c r="E86" i="2"/>
  <c r="AI165" i="1"/>
  <c r="L104" i="2" l="1"/>
  <c r="AD26" i="1"/>
  <c r="D24" i="2"/>
  <c r="O24" i="2" s="1"/>
  <c r="L86" i="2"/>
  <c r="H104" i="2"/>
  <c r="AA26" i="1"/>
  <c r="H86" i="2"/>
  <c r="P29" i="1"/>
  <c r="Q29" i="1" s="1"/>
  <c r="P125" i="1"/>
  <c r="Q125" i="1" s="1"/>
  <c r="P156" i="1"/>
  <c r="T156" i="1" s="1"/>
  <c r="H108" i="1"/>
  <c r="AD108" i="1" s="1"/>
  <c r="H89" i="1"/>
  <c r="AD89" i="1" s="1"/>
  <c r="H88" i="1"/>
  <c r="K24" i="2" l="1"/>
  <c r="N24" i="2"/>
  <c r="J24" i="2"/>
  <c r="E24" i="2"/>
  <c r="F24" i="2"/>
  <c r="G24" i="2"/>
  <c r="I24" i="2"/>
  <c r="AD88" i="1"/>
  <c r="D85" i="2"/>
  <c r="T29" i="1"/>
  <c r="T125" i="1"/>
  <c r="T109" i="1"/>
  <c r="W156" i="1"/>
  <c r="AB156" i="1" s="1"/>
  <c r="AC156" i="1"/>
  <c r="AI156" i="1" s="1"/>
  <c r="AA108" i="1"/>
  <c r="AA89" i="1"/>
  <c r="AA88" i="1"/>
  <c r="W29" i="1" l="1"/>
  <c r="AB29" i="1" s="1"/>
  <c r="AC29" i="1" s="1"/>
  <c r="AI29" i="1" s="1"/>
  <c r="W109" i="1"/>
  <c r="AB109" i="1" s="1"/>
  <c r="AC109" i="1" s="1"/>
  <c r="AI109" i="1" s="1"/>
  <c r="W125" i="1"/>
  <c r="AB125" i="1" s="1"/>
  <c r="AC125" i="1" s="1"/>
  <c r="AI125" i="1" s="1"/>
  <c r="L24" i="2"/>
  <c r="H24" i="2"/>
  <c r="O85" i="2"/>
  <c r="F85" i="2"/>
  <c r="J85" i="2"/>
  <c r="E85" i="2"/>
  <c r="K85" i="2"/>
  <c r="G85" i="2"/>
  <c r="N85" i="2"/>
  <c r="I85" i="2"/>
  <c r="AE156" i="1"/>
  <c r="AE29" i="1" l="1"/>
  <c r="AF29" i="1" s="1"/>
  <c r="AG29" i="1" s="1"/>
  <c r="AE109" i="1"/>
  <c r="AF109" i="1" s="1"/>
  <c r="AG109" i="1" s="1"/>
  <c r="AE125" i="1"/>
  <c r="L85" i="2"/>
  <c r="H85" i="2"/>
  <c r="AF156" i="1"/>
  <c r="AG156" i="1" s="1"/>
  <c r="AF125" i="1" l="1"/>
  <c r="AG125" i="1" s="1"/>
  <c r="T86" i="1"/>
  <c r="C12" i="5"/>
  <c r="C41" i="5" s="1"/>
  <c r="W86" i="1" l="1"/>
  <c r="AB86" i="1" s="1"/>
  <c r="AC86" i="1" s="1"/>
  <c r="AI86" i="1" s="1"/>
  <c r="C10" i="5"/>
  <c r="F8" i="5"/>
  <c r="C14" i="5"/>
  <c r="AE86" i="1" l="1"/>
  <c r="AG86" i="1" s="1"/>
  <c r="C11" i="5"/>
  <c r="C43" i="5"/>
  <c r="C45" i="5" l="1"/>
  <c r="E44" i="5"/>
  <c r="C37" i="5"/>
  <c r="A33" i="5"/>
  <c r="C40" i="5"/>
  <c r="C39" i="5"/>
  <c r="F37" i="5"/>
  <c r="A5" i="5"/>
  <c r="A34" i="5" s="1"/>
  <c r="C36" i="5" l="1"/>
  <c r="V15" i="4" l="1"/>
  <c r="U15" i="4"/>
  <c r="P15" i="4"/>
  <c r="T15" i="4" s="1"/>
  <c r="A15" i="4"/>
  <c r="V14" i="4"/>
  <c r="P14" i="4"/>
  <c r="T14" i="4" s="1"/>
  <c r="A14" i="4"/>
  <c r="V13" i="4"/>
  <c r="V12" i="4" s="1"/>
  <c r="U13" i="4"/>
  <c r="P13" i="4"/>
  <c r="A13" i="4"/>
  <c r="AH12" i="4"/>
  <c r="AD12" i="4"/>
  <c r="AA12" i="4"/>
  <c r="Z12" i="4"/>
  <c r="Y12" i="4"/>
  <c r="X12" i="4"/>
  <c r="S12" i="4"/>
  <c r="R12" i="4"/>
  <c r="Q12" i="4"/>
  <c r="O12" i="4"/>
  <c r="O16" i="4" s="1"/>
  <c r="N12" i="4"/>
  <c r="N16" i="4" s="1"/>
  <c r="M12" i="4"/>
  <c r="M16" i="4" s="1"/>
  <c r="L12" i="4"/>
  <c r="K12" i="4"/>
  <c r="J12" i="4"/>
  <c r="I12" i="4"/>
  <c r="H12" i="4"/>
  <c r="G12" i="4"/>
  <c r="Y16" i="4"/>
  <c r="AE15" i="4" l="1"/>
  <c r="AF15" i="4" s="1"/>
  <c r="AG15" i="4" s="1"/>
  <c r="W15" i="4"/>
  <c r="AB15" i="4" s="1"/>
  <c r="Z16" i="4"/>
  <c r="P12" i="4"/>
  <c r="P16" i="4" s="1"/>
  <c r="T13" i="4"/>
  <c r="AA16" i="4"/>
  <c r="W14" i="4"/>
  <c r="AB14" i="4" s="1"/>
  <c r="H16" i="4"/>
  <c r="V16" i="4"/>
  <c r="I16" i="4"/>
  <c r="J16" i="4"/>
  <c r="AH16" i="4"/>
  <c r="K16" i="4"/>
  <c r="U12" i="4"/>
  <c r="U16" i="4" s="1"/>
  <c r="R16" i="4"/>
  <c r="G16" i="4"/>
  <c r="S16" i="4"/>
  <c r="AI15" i="4"/>
  <c r="L16" i="4"/>
  <c r="X16" i="4"/>
  <c r="AD16" i="4" l="1"/>
  <c r="Q16" i="4"/>
  <c r="W13" i="4"/>
  <c r="AE13" i="4"/>
  <c r="T12" i="4"/>
  <c r="AI14" i="4"/>
  <c r="AE14" i="4"/>
  <c r="T16" i="4" l="1"/>
  <c r="AG14" i="4"/>
  <c r="AC12" i="4"/>
  <c r="AI13" i="4"/>
  <c r="AI12" i="4" s="1"/>
  <c r="AG13" i="4"/>
  <c r="AE12" i="4"/>
  <c r="AB13" i="4"/>
  <c r="AB12" i="4" s="1"/>
  <c r="W12" i="4"/>
  <c r="W16" i="4" l="1"/>
  <c r="AG12" i="4"/>
  <c r="AF12" i="4"/>
  <c r="AB16" i="4" l="1"/>
  <c r="AC16" i="4" l="1"/>
  <c r="AI16" i="4"/>
  <c r="AE16" i="4" l="1"/>
  <c r="AF16" i="4"/>
  <c r="AG16" i="4" l="1"/>
  <c r="V102" i="1" l="1"/>
  <c r="U102" i="1"/>
  <c r="P102" i="1"/>
  <c r="Q102" i="1" s="1"/>
  <c r="V65" i="1"/>
  <c r="U65" i="1"/>
  <c r="T102" i="1" l="1"/>
  <c r="T65" i="1"/>
  <c r="W102" i="1" l="1"/>
  <c r="AB102" i="1" s="1"/>
  <c r="AC102" i="1" s="1"/>
  <c r="AI102" i="1" s="1"/>
  <c r="W65" i="1"/>
  <c r="AB65" i="1" s="1"/>
  <c r="AC65" i="1" s="1"/>
  <c r="AI65" i="1" s="1"/>
  <c r="AE65" i="1" l="1"/>
  <c r="AE102" i="1"/>
  <c r="AF65" i="1" l="1"/>
  <c r="AG65" i="1" s="1"/>
  <c r="AF102" i="1"/>
  <c r="AG102" i="1" s="1"/>
  <c r="V108" i="1"/>
  <c r="U108" i="1"/>
  <c r="P108" i="1"/>
  <c r="Q108" i="1" l="1"/>
  <c r="T108" i="1" s="1"/>
  <c r="W108" i="1" s="1"/>
  <c r="AB108" i="1" s="1"/>
  <c r="AC108" i="1" s="1"/>
  <c r="AI108" i="1" s="1"/>
  <c r="V165" i="1"/>
  <c r="U165" i="1"/>
  <c r="P165" i="1"/>
  <c r="T165" i="1" s="1"/>
  <c r="AI163" i="1"/>
  <c r="V163" i="1"/>
  <c r="U163" i="1"/>
  <c r="P163" i="1"/>
  <c r="T163" i="1" s="1"/>
  <c r="V90" i="1"/>
  <c r="T90" i="1"/>
  <c r="V26" i="1"/>
  <c r="U26" i="1"/>
  <c r="T26" i="1"/>
  <c r="V155" i="1"/>
  <c r="P155" i="1"/>
  <c r="T155" i="1" s="1"/>
  <c r="V154" i="1"/>
  <c r="U154" i="1"/>
  <c r="P154" i="1"/>
  <c r="V97" i="1"/>
  <c r="U97" i="1"/>
  <c r="P97" i="1"/>
  <c r="H97" i="1"/>
  <c r="D97" i="2" s="1"/>
  <c r="V89" i="1"/>
  <c r="P89" i="1"/>
  <c r="V88" i="1"/>
  <c r="P88" i="1"/>
  <c r="V124" i="1"/>
  <c r="U124" i="1"/>
  <c r="P124" i="1"/>
  <c r="H124" i="1"/>
  <c r="D121" i="2" s="1"/>
  <c r="V123" i="1"/>
  <c r="U123" i="1"/>
  <c r="P123" i="1"/>
  <c r="H123" i="1"/>
  <c r="V122" i="1"/>
  <c r="U122" i="1"/>
  <c r="P122" i="1"/>
  <c r="H122" i="1"/>
  <c r="V121" i="1"/>
  <c r="U121" i="1"/>
  <c r="P121" i="1"/>
  <c r="H121" i="1"/>
  <c r="V101" i="1"/>
  <c r="U101" i="1"/>
  <c r="P101" i="1"/>
  <c r="H101" i="1"/>
  <c r="Z120" i="1"/>
  <c r="V120" i="1"/>
  <c r="U120" i="1"/>
  <c r="P120" i="1"/>
  <c r="H120" i="1"/>
  <c r="Z119" i="1"/>
  <c r="V119" i="1"/>
  <c r="U119" i="1"/>
  <c r="P119" i="1"/>
  <c r="H119" i="1"/>
  <c r="D115" i="2" s="1"/>
  <c r="Z118" i="1"/>
  <c r="V118" i="1"/>
  <c r="U118" i="1"/>
  <c r="P118" i="1"/>
  <c r="H118" i="1"/>
  <c r="D114" i="2" s="1"/>
  <c r="V117" i="1"/>
  <c r="U117" i="1"/>
  <c r="P117" i="1"/>
  <c r="H117" i="1"/>
  <c r="V116" i="1"/>
  <c r="U116" i="1"/>
  <c r="P116" i="1"/>
  <c r="H116" i="1"/>
  <c r="V115" i="1"/>
  <c r="U115" i="1"/>
  <c r="P115" i="1"/>
  <c r="H115" i="1"/>
  <c r="V114" i="1"/>
  <c r="U114" i="1"/>
  <c r="P114" i="1"/>
  <c r="H114" i="1"/>
  <c r="Z113" i="1"/>
  <c r="V113" i="1"/>
  <c r="U113" i="1"/>
  <c r="P113" i="1"/>
  <c r="H113" i="1"/>
  <c r="V112" i="1"/>
  <c r="U112" i="1"/>
  <c r="P112" i="1"/>
  <c r="H112" i="1"/>
  <c r="Z111" i="1"/>
  <c r="V111" i="1"/>
  <c r="U111" i="1"/>
  <c r="P111" i="1"/>
  <c r="H111" i="1"/>
  <c r="Z110" i="1"/>
  <c r="V110" i="1"/>
  <c r="U110" i="1"/>
  <c r="P110" i="1"/>
  <c r="H110" i="1"/>
  <c r="AD110" i="1" s="1"/>
  <c r="V107" i="1"/>
  <c r="U107" i="1"/>
  <c r="P107" i="1"/>
  <c r="H107" i="1"/>
  <c r="V105" i="1"/>
  <c r="U105" i="1"/>
  <c r="P105" i="1"/>
  <c r="Q105" i="1" s="1"/>
  <c r="H105" i="1"/>
  <c r="V106" i="1"/>
  <c r="U106" i="1"/>
  <c r="P106" i="1"/>
  <c r="H106" i="1"/>
  <c r="V100" i="1"/>
  <c r="U100" i="1"/>
  <c r="P100" i="1"/>
  <c r="H100" i="1"/>
  <c r="V99" i="1"/>
  <c r="U99" i="1"/>
  <c r="P99" i="1"/>
  <c r="Q99" i="1" s="1"/>
  <c r="V98" i="1"/>
  <c r="U98" i="1"/>
  <c r="P98" i="1"/>
  <c r="H98" i="1"/>
  <c r="V96" i="1"/>
  <c r="U96" i="1"/>
  <c r="P96" i="1"/>
  <c r="H96" i="1"/>
  <c r="V82" i="1"/>
  <c r="U82" i="1"/>
  <c r="P82" i="1"/>
  <c r="Q82" i="1" s="1"/>
  <c r="H82" i="1"/>
  <c r="V87" i="1"/>
  <c r="U87" i="1"/>
  <c r="P87" i="1"/>
  <c r="H87" i="1"/>
  <c r="V81" i="1"/>
  <c r="U81" i="1"/>
  <c r="P81" i="1"/>
  <c r="H81" i="1"/>
  <c r="D78" i="2" s="1"/>
  <c r="V80" i="1"/>
  <c r="U80" i="1"/>
  <c r="P80" i="1"/>
  <c r="H80" i="1"/>
  <c r="V79" i="1"/>
  <c r="U79" i="1"/>
  <c r="P79" i="1"/>
  <c r="H79" i="1"/>
  <c r="D76" i="2" s="1"/>
  <c r="V78" i="1"/>
  <c r="U78" i="1"/>
  <c r="P78" i="1"/>
  <c r="H78" i="1"/>
  <c r="D75" i="2" s="1"/>
  <c r="V77" i="1"/>
  <c r="U77" i="1"/>
  <c r="P77" i="1"/>
  <c r="H77" i="1"/>
  <c r="D74" i="2" s="1"/>
  <c r="V76" i="1"/>
  <c r="U76" i="1"/>
  <c r="P76" i="1"/>
  <c r="H76" i="1"/>
  <c r="D73" i="2" s="1"/>
  <c r="V75" i="1"/>
  <c r="U75" i="1"/>
  <c r="P75" i="1"/>
  <c r="H75" i="1"/>
  <c r="V74" i="1"/>
  <c r="U74" i="1"/>
  <c r="P74" i="1"/>
  <c r="H74" i="1"/>
  <c r="V73" i="1"/>
  <c r="U73" i="1"/>
  <c r="P73" i="1"/>
  <c r="Q73" i="1" s="1"/>
  <c r="H73" i="1"/>
  <c r="V72" i="1"/>
  <c r="U72" i="1"/>
  <c r="P72" i="1"/>
  <c r="H72" i="1"/>
  <c r="V71" i="1"/>
  <c r="U71" i="1"/>
  <c r="P71" i="1"/>
  <c r="Q71" i="1" s="1"/>
  <c r="F7" i="5" s="1"/>
  <c r="F36" i="5" s="1"/>
  <c r="H71" i="1"/>
  <c r="V70" i="1"/>
  <c r="U70" i="1"/>
  <c r="P70" i="1"/>
  <c r="Q70" i="1" s="1"/>
  <c r="H70" i="1"/>
  <c r="V69" i="1"/>
  <c r="U69" i="1"/>
  <c r="P69" i="1"/>
  <c r="Q69" i="1" s="1"/>
  <c r="H69" i="1"/>
  <c r="V68" i="1"/>
  <c r="U68" i="1"/>
  <c r="P68" i="1"/>
  <c r="Q68" i="1" s="1"/>
  <c r="H68" i="1"/>
  <c r="D65" i="2" s="1"/>
  <c r="V67" i="1"/>
  <c r="U67" i="1"/>
  <c r="P67" i="1"/>
  <c r="H67" i="1"/>
  <c r="Z66" i="1"/>
  <c r="V66" i="1"/>
  <c r="U66" i="1"/>
  <c r="P66" i="1"/>
  <c r="H66" i="1"/>
  <c r="V64" i="1"/>
  <c r="U64" i="1"/>
  <c r="P64" i="1"/>
  <c r="Q64" i="1" s="1"/>
  <c r="H64" i="1"/>
  <c r="V63" i="1"/>
  <c r="U63" i="1"/>
  <c r="P63" i="1"/>
  <c r="H63" i="1"/>
  <c r="V62" i="1"/>
  <c r="U62" i="1"/>
  <c r="P62" i="1"/>
  <c r="Q62" i="1" s="1"/>
  <c r="H62" i="1"/>
  <c r="V61" i="1"/>
  <c r="U61" i="1"/>
  <c r="P61" i="1"/>
  <c r="H61" i="1"/>
  <c r="V60" i="1"/>
  <c r="U60" i="1"/>
  <c r="P60" i="1"/>
  <c r="Q60" i="1" s="1"/>
  <c r="H60" i="1"/>
  <c r="V59" i="1"/>
  <c r="U59" i="1"/>
  <c r="P59" i="1"/>
  <c r="Q59" i="1" s="1"/>
  <c r="H59" i="1"/>
  <c r="V58" i="1"/>
  <c r="U58" i="1"/>
  <c r="P58" i="1"/>
  <c r="Q58" i="1" s="1"/>
  <c r="H58" i="1"/>
  <c r="Z57" i="1"/>
  <c r="V57" i="1"/>
  <c r="U57" i="1"/>
  <c r="H57" i="1"/>
  <c r="AD57" i="1" s="1"/>
  <c r="V55" i="1"/>
  <c r="U55" i="1"/>
  <c r="P55" i="1"/>
  <c r="H55" i="1"/>
  <c r="V54" i="1"/>
  <c r="U54" i="1"/>
  <c r="P54" i="1"/>
  <c r="H54" i="1"/>
  <c r="V53" i="1"/>
  <c r="U53" i="1"/>
  <c r="P53" i="1"/>
  <c r="H53" i="1"/>
  <c r="V52" i="1"/>
  <c r="U52" i="1"/>
  <c r="P52" i="1"/>
  <c r="Q52" i="1" s="1"/>
  <c r="H52" i="1"/>
  <c r="V51" i="1"/>
  <c r="U51" i="1"/>
  <c r="P51" i="1"/>
  <c r="H51" i="1"/>
  <c r="V50" i="1"/>
  <c r="U50" i="1"/>
  <c r="P50" i="1"/>
  <c r="H50" i="1"/>
  <c r="V49" i="1"/>
  <c r="U49" i="1"/>
  <c r="P49" i="1"/>
  <c r="Q49" i="1" s="1"/>
  <c r="H49" i="1"/>
  <c r="D46" i="2" s="1"/>
  <c r="V48" i="1"/>
  <c r="U48" i="1"/>
  <c r="P48" i="1"/>
  <c r="H48" i="1"/>
  <c r="V47" i="1"/>
  <c r="U47" i="1"/>
  <c r="P47" i="1"/>
  <c r="Q47" i="1" s="1"/>
  <c r="H47" i="1"/>
  <c r="V46" i="1"/>
  <c r="U46" i="1"/>
  <c r="P46" i="1"/>
  <c r="Q46" i="1" s="1"/>
  <c r="H46" i="1"/>
  <c r="V45" i="1"/>
  <c r="U45" i="1"/>
  <c r="P45" i="1"/>
  <c r="Q45" i="1" s="1"/>
  <c r="H45" i="1"/>
  <c r="V44" i="1"/>
  <c r="U44" i="1"/>
  <c r="P44" i="1"/>
  <c r="H44" i="1"/>
  <c r="V43" i="1"/>
  <c r="U43" i="1"/>
  <c r="P43" i="1"/>
  <c r="Q43" i="1" s="1"/>
  <c r="H43" i="1"/>
  <c r="V42" i="1"/>
  <c r="U42" i="1"/>
  <c r="P42" i="1"/>
  <c r="Q42" i="1" s="1"/>
  <c r="H42" i="1"/>
  <c r="V41" i="1"/>
  <c r="U41" i="1"/>
  <c r="P41" i="1"/>
  <c r="Q41" i="1" s="1"/>
  <c r="H41" i="1"/>
  <c r="V40" i="1"/>
  <c r="U40" i="1"/>
  <c r="P40" i="1"/>
  <c r="Q40" i="1" s="1"/>
  <c r="V39" i="1"/>
  <c r="U39" i="1"/>
  <c r="P39" i="1"/>
  <c r="Q39" i="1" s="1"/>
  <c r="H39" i="1"/>
  <c r="Z38" i="1"/>
  <c r="V38" i="1"/>
  <c r="U38" i="1"/>
  <c r="P38" i="1"/>
  <c r="Q38" i="1" s="1"/>
  <c r="H38" i="1"/>
  <c r="Z37" i="1"/>
  <c r="V37" i="1"/>
  <c r="U37" i="1"/>
  <c r="P37" i="1"/>
  <c r="Q37" i="1" s="1"/>
  <c r="H37" i="1"/>
  <c r="Z36" i="1"/>
  <c r="V36" i="1"/>
  <c r="U36" i="1"/>
  <c r="P36" i="1"/>
  <c r="Q36" i="1" s="1"/>
  <c r="H36" i="1"/>
  <c r="Z35" i="1"/>
  <c r="V35" i="1"/>
  <c r="U35" i="1"/>
  <c r="P35" i="1"/>
  <c r="Q35" i="1" s="1"/>
  <c r="H35" i="1"/>
  <c r="Z34" i="1"/>
  <c r="V34" i="1"/>
  <c r="U34" i="1"/>
  <c r="P34" i="1"/>
  <c r="H34" i="1"/>
  <c r="V30" i="1"/>
  <c r="U30" i="1"/>
  <c r="P30" i="1"/>
  <c r="Q30" i="1" s="1"/>
  <c r="H30" i="1"/>
  <c r="V28" i="1"/>
  <c r="U28" i="1"/>
  <c r="P28" i="1"/>
  <c r="H28" i="1"/>
  <c r="Z27" i="1"/>
  <c r="V27" i="1"/>
  <c r="U27" i="1"/>
  <c r="P27" i="1"/>
  <c r="Q27" i="1" s="1"/>
  <c r="H27" i="1"/>
  <c r="V21" i="1"/>
  <c r="U21" i="1"/>
  <c r="P21" i="1"/>
  <c r="H21" i="1"/>
  <c r="V20" i="1"/>
  <c r="U20" i="1"/>
  <c r="P20" i="1"/>
  <c r="Q20" i="1" s="1"/>
  <c r="H20" i="1"/>
  <c r="V19" i="1"/>
  <c r="U19" i="1"/>
  <c r="P19" i="1"/>
  <c r="Q19" i="1" s="1"/>
  <c r="T19" i="1" s="1"/>
  <c r="H19" i="1"/>
  <c r="V24" i="1"/>
  <c r="U24" i="1"/>
  <c r="P24" i="1"/>
  <c r="Q24" i="1" s="1"/>
  <c r="H24" i="1"/>
  <c r="V18" i="1"/>
  <c r="U18" i="1"/>
  <c r="P18" i="1"/>
  <c r="Q18" i="1" s="1"/>
  <c r="T18" i="1" s="1"/>
  <c r="H18" i="1"/>
  <c r="V23" i="1"/>
  <c r="U23" i="1"/>
  <c r="P23" i="1"/>
  <c r="Q23" i="1" s="1"/>
  <c r="T23" i="1" s="1"/>
  <c r="H23" i="1"/>
  <c r="Z17" i="1"/>
  <c r="Z16" i="1" s="1"/>
  <c r="V17" i="1"/>
  <c r="U17" i="1"/>
  <c r="P17" i="1"/>
  <c r="H17" i="1"/>
  <c r="Z13" i="1"/>
  <c r="Z12" i="1" s="1"/>
  <c r="V13" i="1"/>
  <c r="V12" i="1" s="1"/>
  <c r="U13" i="1"/>
  <c r="U12" i="1" s="1"/>
  <c r="P13" i="1"/>
  <c r="P12" i="1" s="1"/>
  <c r="H13" i="1"/>
  <c r="H12" i="1" s="1"/>
  <c r="V16" i="1" l="1"/>
  <c r="P153" i="1"/>
  <c r="U153" i="1"/>
  <c r="V153" i="1"/>
  <c r="P16" i="1"/>
  <c r="H16" i="1"/>
  <c r="U16" i="1"/>
  <c r="Q67" i="1"/>
  <c r="T67" i="1" s="1"/>
  <c r="W67" i="1" s="1"/>
  <c r="H33" i="1"/>
  <c r="H166" i="1" s="1"/>
  <c r="AD17" i="1"/>
  <c r="V33" i="1"/>
  <c r="V166" i="1" s="1"/>
  <c r="P33" i="1"/>
  <c r="P166" i="1" s="1"/>
  <c r="U33" i="1"/>
  <c r="Z33" i="1"/>
  <c r="Z166" i="1" s="1"/>
  <c r="O121" i="2"/>
  <c r="E121" i="2"/>
  <c r="F121" i="2"/>
  <c r="J121" i="2"/>
  <c r="K121" i="2"/>
  <c r="G121" i="2"/>
  <c r="N121" i="2"/>
  <c r="I121" i="2"/>
  <c r="Q81" i="1"/>
  <c r="T81" i="1" s="1"/>
  <c r="Q89" i="1"/>
  <c r="T89" i="1" s="1"/>
  <c r="T42" i="1"/>
  <c r="T45" i="1"/>
  <c r="W45" i="1" s="1"/>
  <c r="Q55" i="1"/>
  <c r="T55" i="1" s="1"/>
  <c r="Q98" i="1"/>
  <c r="T98" i="1" s="1"/>
  <c r="T60" i="1"/>
  <c r="W60" i="1" s="1"/>
  <c r="T58" i="1"/>
  <c r="W58" i="1" s="1"/>
  <c r="Q113" i="1"/>
  <c r="T113" i="1" s="1"/>
  <c r="Q101" i="1"/>
  <c r="T101" i="1" s="1"/>
  <c r="Q123" i="1"/>
  <c r="T123" i="1" s="1"/>
  <c r="T82" i="1"/>
  <c r="T73" i="1"/>
  <c r="W73" i="1" s="1"/>
  <c r="Q116" i="1"/>
  <c r="T116" i="1" s="1"/>
  <c r="T43" i="1"/>
  <c r="Q50" i="1"/>
  <c r="T50" i="1" s="1"/>
  <c r="W50" i="1" s="1"/>
  <c r="Q53" i="1"/>
  <c r="T53" i="1" s="1"/>
  <c r="W53" i="1" s="1"/>
  <c r="T99" i="1"/>
  <c r="W99" i="1" s="1"/>
  <c r="T105" i="1"/>
  <c r="W105" i="1" s="1"/>
  <c r="Q119" i="1"/>
  <c r="T119" i="1" s="1"/>
  <c r="W119" i="1" s="1"/>
  <c r="T68" i="1"/>
  <c r="W68" i="1" s="1"/>
  <c r="Q66" i="1"/>
  <c r="T66" i="1" s="1"/>
  <c r="W66" i="1" s="1"/>
  <c r="Q121" i="1"/>
  <c r="T121" i="1" s="1"/>
  <c r="Q124" i="1"/>
  <c r="T124" i="1" s="1"/>
  <c r="T69" i="1"/>
  <c r="T71" i="1"/>
  <c r="W71" i="1" s="1"/>
  <c r="Q72" i="1"/>
  <c r="T72" i="1" s="1"/>
  <c r="Q114" i="1"/>
  <c r="T114" i="1" s="1"/>
  <c r="Q117" i="1"/>
  <c r="T117" i="1" s="1"/>
  <c r="Q115" i="1"/>
  <c r="T115" i="1" s="1"/>
  <c r="T62" i="1"/>
  <c r="T41" i="1"/>
  <c r="Q44" i="1"/>
  <c r="T44" i="1" s="1"/>
  <c r="W44" i="1" s="1"/>
  <c r="T46" i="1"/>
  <c r="W46" i="1" s="1"/>
  <c r="Q48" i="1"/>
  <c r="T48" i="1" s="1"/>
  <c r="Q51" i="1"/>
  <c r="T51" i="1" s="1"/>
  <c r="W51" i="1" s="1"/>
  <c r="Q54" i="1"/>
  <c r="T54" i="1" s="1"/>
  <c r="Q76" i="1"/>
  <c r="T76" i="1" s="1"/>
  <c r="W76" i="1" s="1"/>
  <c r="T70" i="1"/>
  <c r="W70" i="1" s="1"/>
  <c r="Q88" i="1"/>
  <c r="T88" i="1" s="1"/>
  <c r="Q122" i="1"/>
  <c r="T122" i="1" s="1"/>
  <c r="W122" i="1" s="1"/>
  <c r="F6" i="5"/>
  <c r="F16" i="5" s="1"/>
  <c r="F45" i="5" s="1"/>
  <c r="Q34" i="1"/>
  <c r="Q107" i="1"/>
  <c r="T107" i="1" s="1"/>
  <c r="T59" i="1"/>
  <c r="Q63" i="1"/>
  <c r="T63" i="1" s="1"/>
  <c r="Q74" i="1"/>
  <c r="T74" i="1" s="1"/>
  <c r="Q75" i="1"/>
  <c r="T75" i="1" s="1"/>
  <c r="Q87" i="1"/>
  <c r="Q106" i="1"/>
  <c r="Q80" i="1"/>
  <c r="T80" i="1" s="1"/>
  <c r="AE108" i="1"/>
  <c r="AF108" i="1" s="1"/>
  <c r="AG108" i="1" s="1"/>
  <c r="Q13" i="1"/>
  <c r="AA23" i="1"/>
  <c r="D21" i="2"/>
  <c r="AA106" i="1"/>
  <c r="D102" i="2"/>
  <c r="K102" i="2" s="1"/>
  <c r="AA116" i="1"/>
  <c r="D110" i="2"/>
  <c r="AD124" i="1"/>
  <c r="AD20" i="1"/>
  <c r="D19" i="2"/>
  <c r="AA51" i="1"/>
  <c r="D48" i="2"/>
  <c r="AD66" i="1"/>
  <c r="D63" i="2"/>
  <c r="AA58" i="1"/>
  <c r="D55" i="2"/>
  <c r="AD96" i="1"/>
  <c r="D93" i="2"/>
  <c r="D106" i="2"/>
  <c r="AA47" i="1"/>
  <c r="D44" i="2"/>
  <c r="AA75" i="1"/>
  <c r="D72" i="2"/>
  <c r="AD46" i="1"/>
  <c r="D43" i="2"/>
  <c r="AD59" i="1"/>
  <c r="D56" i="2"/>
  <c r="AA67" i="1"/>
  <c r="D64" i="2"/>
  <c r="AD80" i="1"/>
  <c r="D77" i="2"/>
  <c r="AA100" i="1"/>
  <c r="D96" i="2"/>
  <c r="AA115" i="1"/>
  <c r="D111" i="2"/>
  <c r="AD123" i="1"/>
  <c r="D120" i="2"/>
  <c r="AA60" i="1"/>
  <c r="D57" i="2"/>
  <c r="J65" i="2"/>
  <c r="I65" i="2"/>
  <c r="G65" i="2"/>
  <c r="O65" i="2"/>
  <c r="F65" i="2"/>
  <c r="K65" i="2"/>
  <c r="E65" i="2"/>
  <c r="N65" i="2"/>
  <c r="AD122" i="1"/>
  <c r="D118" i="2"/>
  <c r="AD24" i="1"/>
  <c r="D22" i="2"/>
  <c r="I30" i="2"/>
  <c r="AD35" i="1"/>
  <c r="D33" i="2"/>
  <c r="AD37" i="1"/>
  <c r="D35" i="2"/>
  <c r="T39" i="1"/>
  <c r="AA77" i="1"/>
  <c r="O115" i="2"/>
  <c r="N115" i="2"/>
  <c r="I115" i="2"/>
  <c r="K115" i="2"/>
  <c r="G115" i="2"/>
  <c r="F115" i="2"/>
  <c r="E115" i="2"/>
  <c r="J115" i="2"/>
  <c r="AD28" i="1"/>
  <c r="D26" i="2"/>
  <c r="AD61" i="1"/>
  <c r="D58" i="2"/>
  <c r="AA69" i="1"/>
  <c r="D66" i="2"/>
  <c r="AD19" i="1"/>
  <c r="D17" i="2"/>
  <c r="AD40" i="1"/>
  <c r="AD50" i="1"/>
  <c r="D47" i="2"/>
  <c r="AA64" i="1"/>
  <c r="D61" i="2"/>
  <c r="AD71" i="1"/>
  <c r="D68" i="2"/>
  <c r="AA73" i="1"/>
  <c r="D70" i="2"/>
  <c r="AD113" i="1"/>
  <c r="D108" i="2"/>
  <c r="E78" i="2"/>
  <c r="I78" i="2"/>
  <c r="J78" i="2"/>
  <c r="F78" i="2"/>
  <c r="K78" i="2"/>
  <c r="N78" i="2"/>
  <c r="G78" i="2"/>
  <c r="O78" i="2"/>
  <c r="AA57" i="1"/>
  <c r="D54" i="2"/>
  <c r="AD99" i="1"/>
  <c r="D95" i="2"/>
  <c r="AD63" i="1"/>
  <c r="D60" i="2"/>
  <c r="AD44" i="1"/>
  <c r="D41" i="2"/>
  <c r="T49" i="1"/>
  <c r="O97" i="2"/>
  <c r="G97" i="2"/>
  <c r="E97" i="2"/>
  <c r="I97" i="2"/>
  <c r="F97" i="2"/>
  <c r="J97" i="2"/>
  <c r="K97" i="2"/>
  <c r="N97" i="2"/>
  <c r="AD52" i="1"/>
  <c r="D49" i="2"/>
  <c r="AA36" i="1"/>
  <c r="D34" i="2"/>
  <c r="AD38" i="1"/>
  <c r="D36" i="2"/>
  <c r="T40" i="1"/>
  <c r="AA55" i="1"/>
  <c r="D52" i="2"/>
  <c r="O75" i="2"/>
  <c r="E75" i="2"/>
  <c r="J75" i="2"/>
  <c r="F75" i="2"/>
  <c r="K75" i="2"/>
  <c r="N75" i="2"/>
  <c r="G75" i="2"/>
  <c r="I75" i="2"/>
  <c r="AA98" i="1"/>
  <c r="D94" i="2"/>
  <c r="AD111" i="1"/>
  <c r="D107" i="2"/>
  <c r="AD121" i="1"/>
  <c r="D119" i="2"/>
  <c r="AD41" i="1"/>
  <c r="D38" i="2"/>
  <c r="AA79" i="1"/>
  <c r="AD112" i="1"/>
  <c r="D112" i="2"/>
  <c r="AA54" i="1"/>
  <c r="D51" i="2"/>
  <c r="AA13" i="1"/>
  <c r="AA12" i="1" s="1"/>
  <c r="D13" i="2"/>
  <c r="AD87" i="1"/>
  <c r="D79" i="2"/>
  <c r="AD34" i="1"/>
  <c r="D32" i="2"/>
  <c r="AD45" i="1"/>
  <c r="D42" i="2"/>
  <c r="AD30" i="1"/>
  <c r="D28" i="2"/>
  <c r="AA48" i="1"/>
  <c r="D45" i="2"/>
  <c r="AA62" i="1"/>
  <c r="D59" i="2"/>
  <c r="AA82" i="1"/>
  <c r="D80" i="2"/>
  <c r="AA107" i="1"/>
  <c r="D103" i="2"/>
  <c r="I114" i="2"/>
  <c r="K114" i="2"/>
  <c r="G114" i="2"/>
  <c r="N114" i="2"/>
  <c r="E114" i="2"/>
  <c r="O114" i="2"/>
  <c r="J114" i="2"/>
  <c r="F114" i="2"/>
  <c r="AD120" i="1"/>
  <c r="D116" i="2"/>
  <c r="AD74" i="1"/>
  <c r="D71" i="2"/>
  <c r="AD114" i="1"/>
  <c r="D109" i="2"/>
  <c r="AA39" i="1"/>
  <c r="D37" i="2"/>
  <c r="E46" i="2"/>
  <c r="K46" i="2"/>
  <c r="O46" i="2"/>
  <c r="I46" i="2"/>
  <c r="F46" i="2"/>
  <c r="N46" i="2"/>
  <c r="J46" i="2"/>
  <c r="G46" i="2"/>
  <c r="AA70" i="1"/>
  <c r="D67" i="2"/>
  <c r="AD101" i="1"/>
  <c r="D117" i="2"/>
  <c r="AD18" i="1"/>
  <c r="D16" i="2"/>
  <c r="AA105" i="1"/>
  <c r="D101" i="2"/>
  <c r="N101" i="2" s="1"/>
  <c r="AD117" i="1"/>
  <c r="D113" i="2"/>
  <c r="D15" i="2"/>
  <c r="AD21" i="1"/>
  <c r="D20" i="2"/>
  <c r="AD42" i="1"/>
  <c r="D39" i="2"/>
  <c r="D11" i="2"/>
  <c r="AA27" i="1"/>
  <c r="D25" i="2"/>
  <c r="AA43" i="1"/>
  <c r="D40" i="2"/>
  <c r="AD53" i="1"/>
  <c r="D50" i="2"/>
  <c r="AA72" i="1"/>
  <c r="D69" i="2"/>
  <c r="K73" i="2"/>
  <c r="J73" i="2"/>
  <c r="E73" i="2"/>
  <c r="G73" i="2"/>
  <c r="N73" i="2"/>
  <c r="O73" i="2"/>
  <c r="I73" i="2"/>
  <c r="F73" i="2"/>
  <c r="AA97" i="1"/>
  <c r="AD97" i="1"/>
  <c r="Q97" i="1"/>
  <c r="Q120" i="1"/>
  <c r="T120" i="1" s="1"/>
  <c r="AD13" i="1"/>
  <c r="AD12" i="1" s="1"/>
  <c r="AA120" i="1"/>
  <c r="AD43" i="1"/>
  <c r="AD54" i="1"/>
  <c r="AA19" i="1"/>
  <c r="AA45" i="1"/>
  <c r="AA53" i="1"/>
  <c r="AA59" i="1"/>
  <c r="AD116" i="1"/>
  <c r="T24" i="1"/>
  <c r="W24" i="1" s="1"/>
  <c r="AD36" i="1"/>
  <c r="AD48" i="1"/>
  <c r="AD82" i="1"/>
  <c r="AA113" i="1"/>
  <c r="AA121" i="1"/>
  <c r="AA124" i="1"/>
  <c r="W18" i="1"/>
  <c r="T30" i="1"/>
  <c r="W30" i="1" s="1"/>
  <c r="AA34" i="1"/>
  <c r="AD39" i="1"/>
  <c r="AD51" i="1"/>
  <c r="AD67" i="1"/>
  <c r="AD77" i="1"/>
  <c r="AA80" i="1"/>
  <c r="Q96" i="1"/>
  <c r="AD105" i="1"/>
  <c r="AA123" i="1"/>
  <c r="AD60" i="1"/>
  <c r="AA71" i="1"/>
  <c r="W26" i="1"/>
  <c r="AB26" i="1" s="1"/>
  <c r="AC26" i="1" s="1"/>
  <c r="AI26" i="1" s="1"/>
  <c r="AA37" i="1"/>
  <c r="AA52" i="1"/>
  <c r="AD55" i="1"/>
  <c r="AD58" i="1"/>
  <c r="Q100" i="1"/>
  <c r="T100" i="1" s="1"/>
  <c r="AA101" i="1"/>
  <c r="AA17" i="1"/>
  <c r="AA74" i="1"/>
  <c r="AA61" i="1"/>
  <c r="T27" i="1"/>
  <c r="W27" i="1" s="1"/>
  <c r="AA41" i="1"/>
  <c r="AA122" i="1"/>
  <c r="AA46" i="1"/>
  <c r="AA66" i="1"/>
  <c r="AD69" i="1"/>
  <c r="Q78" i="1"/>
  <c r="Q111" i="1"/>
  <c r="T111" i="1" s="1"/>
  <c r="AA112" i="1"/>
  <c r="AA99" i="1"/>
  <c r="AA21" i="1"/>
  <c r="AD47" i="1"/>
  <c r="T52" i="1"/>
  <c r="Q61" i="1"/>
  <c r="T61" i="1" s="1"/>
  <c r="AD70" i="1"/>
  <c r="Q110" i="1"/>
  <c r="T110" i="1" s="1"/>
  <c r="AD23" i="1"/>
  <c r="AD75" i="1"/>
  <c r="AA114" i="1"/>
  <c r="T154" i="1"/>
  <c r="AA24" i="1"/>
  <c r="T36" i="1"/>
  <c r="W36" i="1" s="1"/>
  <c r="AA111" i="1"/>
  <c r="W19" i="1"/>
  <c r="W23" i="1"/>
  <c r="AA78" i="1"/>
  <c r="AD78" i="1"/>
  <c r="AA81" i="1"/>
  <c r="AD81" i="1"/>
  <c r="AD27" i="1"/>
  <c r="AA40" i="1"/>
  <c r="T57" i="1"/>
  <c r="Q21" i="1"/>
  <c r="T21" i="1" s="1"/>
  <c r="AA42" i="1"/>
  <c r="AA28" i="1"/>
  <c r="AA20" i="1"/>
  <c r="AA30" i="1"/>
  <c r="AA35" i="1"/>
  <c r="T37" i="1"/>
  <c r="AA44" i="1"/>
  <c r="T47" i="1"/>
  <c r="AA50" i="1"/>
  <c r="Q17" i="1"/>
  <c r="T38" i="1"/>
  <c r="AD64" i="1"/>
  <c r="Q77" i="1"/>
  <c r="T77" i="1" s="1"/>
  <c r="AD68" i="1"/>
  <c r="AA68" i="1"/>
  <c r="AD76" i="1"/>
  <c r="AA76" i="1"/>
  <c r="Q28" i="1"/>
  <c r="T28" i="1" s="1"/>
  <c r="AD73" i="1"/>
  <c r="T35" i="1"/>
  <c r="AA18" i="1"/>
  <c r="T20" i="1"/>
  <c r="AA38" i="1"/>
  <c r="AA49" i="1"/>
  <c r="AD49" i="1"/>
  <c r="AA96" i="1"/>
  <c r="AA110" i="1"/>
  <c r="AD115" i="1"/>
  <c r="AE165" i="1"/>
  <c r="W165" i="1"/>
  <c r="AB165" i="1" s="1"/>
  <c r="AD100" i="1"/>
  <c r="AA117" i="1"/>
  <c r="Q112" i="1"/>
  <c r="T112" i="1" s="1"/>
  <c r="AD62" i="1"/>
  <c r="AD72" i="1"/>
  <c r="AA87" i="1"/>
  <c r="AD106" i="1"/>
  <c r="W155" i="1"/>
  <c r="AB155" i="1" s="1"/>
  <c r="AD79" i="1"/>
  <c r="AD98" i="1"/>
  <c r="AE163" i="1"/>
  <c r="W163" i="1"/>
  <c r="AB163" i="1" s="1"/>
  <c r="AA63" i="1"/>
  <c r="AC155" i="1"/>
  <c r="AD118" i="1"/>
  <c r="AA118" i="1"/>
  <c r="AD119" i="1"/>
  <c r="AA119" i="1"/>
  <c r="Q79" i="1"/>
  <c r="T79" i="1" s="1"/>
  <c r="AD107" i="1"/>
  <c r="Q118" i="1"/>
  <c r="T118" i="1" s="1"/>
  <c r="W90" i="1"/>
  <c r="AB90" i="1" s="1"/>
  <c r="AC90" i="1" s="1"/>
  <c r="AI90" i="1" s="1"/>
  <c r="U166" i="1" l="1"/>
  <c r="AA16" i="1"/>
  <c r="Q12" i="1"/>
  <c r="C15" i="5"/>
  <c r="C17" i="5" s="1"/>
  <c r="Q16" i="1"/>
  <c r="AC154" i="1"/>
  <c r="AC153" i="1" s="1"/>
  <c r="T153" i="1"/>
  <c r="AD16" i="1"/>
  <c r="D14" i="2"/>
  <c r="D31" i="2"/>
  <c r="D10" i="2"/>
  <c r="O93" i="2"/>
  <c r="G93" i="2"/>
  <c r="K93" i="2"/>
  <c r="N93" i="2"/>
  <c r="J93" i="2"/>
  <c r="F93" i="2"/>
  <c r="G54" i="2"/>
  <c r="K54" i="2"/>
  <c r="J54" i="2"/>
  <c r="I54" i="2"/>
  <c r="O54" i="2"/>
  <c r="E54" i="2"/>
  <c r="N54" i="2"/>
  <c r="Q33" i="1"/>
  <c r="AD33" i="1"/>
  <c r="AA33" i="1"/>
  <c r="AA166" i="1" s="1"/>
  <c r="G106" i="2"/>
  <c r="J106" i="2"/>
  <c r="I106" i="2"/>
  <c r="O106" i="2"/>
  <c r="N106" i="2"/>
  <c r="K106" i="2"/>
  <c r="L121" i="2"/>
  <c r="H121" i="2"/>
  <c r="K101" i="2"/>
  <c r="O101" i="2"/>
  <c r="J101" i="2"/>
  <c r="I101" i="2"/>
  <c r="AE90" i="1"/>
  <c r="AE26" i="1"/>
  <c r="AF26" i="1" s="1"/>
  <c r="AG26" i="1" s="1"/>
  <c r="T78" i="1"/>
  <c r="W78" i="1" s="1"/>
  <c r="AB78" i="1" s="1"/>
  <c r="AC78" i="1" s="1"/>
  <c r="T87" i="1"/>
  <c r="W87" i="1" s="1"/>
  <c r="W75" i="1"/>
  <c r="AB75" i="1" s="1"/>
  <c r="AC75" i="1" s="1"/>
  <c r="AI75" i="1" s="1"/>
  <c r="W74" i="1"/>
  <c r="AB74" i="1" s="1"/>
  <c r="AC74" i="1" s="1"/>
  <c r="AE74" i="1" s="1"/>
  <c r="AF74" i="1" s="1"/>
  <c r="AG74" i="1" s="1"/>
  <c r="W100" i="1"/>
  <c r="AB100" i="1" s="1"/>
  <c r="AC100" i="1" s="1"/>
  <c r="AE100" i="1" s="1"/>
  <c r="W63" i="1"/>
  <c r="AB63" i="1" s="1"/>
  <c r="AC63" i="1" s="1"/>
  <c r="W59" i="1"/>
  <c r="AB59" i="1" s="1"/>
  <c r="AC59" i="1" s="1"/>
  <c r="W107" i="1"/>
  <c r="AB107" i="1" s="1"/>
  <c r="AC107" i="1" s="1"/>
  <c r="AE107" i="1" s="1"/>
  <c r="AF107" i="1" s="1"/>
  <c r="AG107" i="1" s="1"/>
  <c r="W49" i="1"/>
  <c r="AB49" i="1" s="1"/>
  <c r="AC49" i="1" s="1"/>
  <c r="AE49" i="1" s="1"/>
  <c r="AF49" i="1" s="1"/>
  <c r="AG49" i="1" s="1"/>
  <c r="W120" i="1"/>
  <c r="AB120" i="1" s="1"/>
  <c r="AC120" i="1" s="1"/>
  <c r="AE120" i="1" s="1"/>
  <c r="T64" i="1"/>
  <c r="W64" i="1" s="1"/>
  <c r="AB64" i="1" s="1"/>
  <c r="AC64" i="1" s="1"/>
  <c r="AI64" i="1" s="1"/>
  <c r="T106" i="1"/>
  <c r="W106" i="1" s="1"/>
  <c r="AB106" i="1" s="1"/>
  <c r="AC106" i="1" s="1"/>
  <c r="AI106" i="1" s="1"/>
  <c r="W81" i="1"/>
  <c r="AB81" i="1" s="1"/>
  <c r="AC81" i="1" s="1"/>
  <c r="AI81" i="1" s="1"/>
  <c r="T97" i="1"/>
  <c r="W97" i="1" s="1"/>
  <c r="AB97" i="1" s="1"/>
  <c r="AC97" i="1" s="1"/>
  <c r="AI97" i="1" s="1"/>
  <c r="W80" i="1"/>
  <c r="AB80" i="1" s="1"/>
  <c r="AC80" i="1" s="1"/>
  <c r="AE80" i="1" s="1"/>
  <c r="AF80" i="1" s="1"/>
  <c r="AG80" i="1" s="1"/>
  <c r="T96" i="1"/>
  <c r="W96" i="1" s="1"/>
  <c r="F12" i="5"/>
  <c r="F41" i="5" s="1"/>
  <c r="F11" i="5"/>
  <c r="F40" i="5" s="1"/>
  <c r="T34" i="1"/>
  <c r="T33" i="1" s="1"/>
  <c r="F13" i="5"/>
  <c r="F42" i="5" s="1"/>
  <c r="F35" i="5"/>
  <c r="AB58" i="1"/>
  <c r="AC58" i="1" s="1"/>
  <c r="AI58" i="1" s="1"/>
  <c r="AB46" i="1"/>
  <c r="AC46" i="1" s="1"/>
  <c r="AE46" i="1" s="1"/>
  <c r="AF46" i="1" s="1"/>
  <c r="AG46" i="1" s="1"/>
  <c r="AB53" i="1"/>
  <c r="AC53" i="1" s="1"/>
  <c r="AE53" i="1" s="1"/>
  <c r="AB73" i="1"/>
  <c r="AC73" i="1" s="1"/>
  <c r="AE73" i="1" s="1"/>
  <c r="AF73" i="1" s="1"/>
  <c r="AG73" i="1" s="1"/>
  <c r="AB76" i="1"/>
  <c r="AC76" i="1" s="1"/>
  <c r="AE76" i="1" s="1"/>
  <c r="AB70" i="1"/>
  <c r="AC70" i="1" s="1"/>
  <c r="AE70" i="1" s="1"/>
  <c r="AB36" i="1"/>
  <c r="AC36" i="1" s="1"/>
  <c r="AE36" i="1" s="1"/>
  <c r="AG36" i="1" s="1"/>
  <c r="AB105" i="1"/>
  <c r="AC105" i="1" s="1"/>
  <c r="AI105" i="1" s="1"/>
  <c r="L75" i="2"/>
  <c r="T13" i="1"/>
  <c r="T12" i="1" s="1"/>
  <c r="AB23" i="1"/>
  <c r="AC23" i="1" s="1"/>
  <c r="W110" i="1"/>
  <c r="AB110" i="1" s="1"/>
  <c r="AC110" i="1" s="1"/>
  <c r="AI110" i="1" s="1"/>
  <c r="AB51" i="1"/>
  <c r="AC51" i="1" s="1"/>
  <c r="AI51" i="1" s="1"/>
  <c r="L65" i="2"/>
  <c r="AB27" i="1"/>
  <c r="AC27" i="1" s="1"/>
  <c r="AI27" i="1" s="1"/>
  <c r="H46" i="2"/>
  <c r="L114" i="2"/>
  <c r="O60" i="2"/>
  <c r="N60" i="2"/>
  <c r="F60" i="2"/>
  <c r="G60" i="2"/>
  <c r="I60" i="2"/>
  <c r="J60" i="2"/>
  <c r="K60" i="2"/>
  <c r="E60" i="2"/>
  <c r="G19" i="2"/>
  <c r="K19" i="2"/>
  <c r="O19" i="2"/>
  <c r="J19" i="2"/>
  <c r="I19" i="2"/>
  <c r="N19" i="2"/>
  <c r="E19" i="2"/>
  <c r="F19" i="2"/>
  <c r="E69" i="2"/>
  <c r="I69" i="2"/>
  <c r="F69" i="2"/>
  <c r="J69" i="2"/>
  <c r="G69" i="2"/>
  <c r="N69" i="2"/>
  <c r="K69" i="2"/>
  <c r="O69" i="2"/>
  <c r="O37" i="2"/>
  <c r="N37" i="2"/>
  <c r="I37" i="2"/>
  <c r="E37" i="2"/>
  <c r="K37" i="2"/>
  <c r="G37" i="2"/>
  <c r="J37" i="2"/>
  <c r="F37" i="2"/>
  <c r="O30" i="2"/>
  <c r="K30" i="2"/>
  <c r="N30" i="2"/>
  <c r="J30" i="2"/>
  <c r="E67" i="2"/>
  <c r="K67" i="2"/>
  <c r="I67" i="2"/>
  <c r="J67" i="2"/>
  <c r="O67" i="2"/>
  <c r="N67" i="2"/>
  <c r="F67" i="2"/>
  <c r="G67" i="2"/>
  <c r="E56" i="2"/>
  <c r="F56" i="2"/>
  <c r="K56" i="2"/>
  <c r="G56" i="2"/>
  <c r="I56" i="2"/>
  <c r="J56" i="2"/>
  <c r="N56" i="2"/>
  <c r="O56" i="2"/>
  <c r="L97" i="2"/>
  <c r="G71" i="2"/>
  <c r="F71" i="2"/>
  <c r="K71" i="2"/>
  <c r="O71" i="2"/>
  <c r="N71" i="2"/>
  <c r="E71" i="2"/>
  <c r="J71" i="2"/>
  <c r="I71" i="2"/>
  <c r="K58" i="2"/>
  <c r="E58" i="2"/>
  <c r="F58" i="2"/>
  <c r="N58" i="2"/>
  <c r="O58" i="2"/>
  <c r="G58" i="2"/>
  <c r="J58" i="2"/>
  <c r="I58" i="2"/>
  <c r="J74" i="2"/>
  <c r="N74" i="2"/>
  <c r="E74" i="2"/>
  <c r="I74" i="2"/>
  <c r="O74" i="2"/>
  <c r="F74" i="2"/>
  <c r="K74" i="2"/>
  <c r="G74" i="2"/>
  <c r="E118" i="2"/>
  <c r="K118" i="2"/>
  <c r="I118" i="2"/>
  <c r="J118" i="2"/>
  <c r="G118" i="2"/>
  <c r="N118" i="2"/>
  <c r="O118" i="2"/>
  <c r="F118" i="2"/>
  <c r="E120" i="2"/>
  <c r="O120" i="2"/>
  <c r="N120" i="2"/>
  <c r="K120" i="2"/>
  <c r="F120" i="2"/>
  <c r="I120" i="2"/>
  <c r="J120" i="2"/>
  <c r="G120" i="2"/>
  <c r="O52" i="2"/>
  <c r="E52" i="2"/>
  <c r="J52" i="2"/>
  <c r="G52" i="2"/>
  <c r="K52" i="2"/>
  <c r="F52" i="2"/>
  <c r="I52" i="2"/>
  <c r="N52" i="2"/>
  <c r="O39" i="2"/>
  <c r="F39" i="2"/>
  <c r="I39" i="2"/>
  <c r="K39" i="2"/>
  <c r="N39" i="2"/>
  <c r="G39" i="2"/>
  <c r="J39" i="2"/>
  <c r="E39" i="2"/>
  <c r="K94" i="2"/>
  <c r="N94" i="2"/>
  <c r="J94" i="2"/>
  <c r="O94" i="2"/>
  <c r="F94" i="2"/>
  <c r="G94" i="2"/>
  <c r="E94" i="2"/>
  <c r="I94" i="2"/>
  <c r="L78" i="2"/>
  <c r="K109" i="2"/>
  <c r="O109" i="2"/>
  <c r="N109" i="2"/>
  <c r="J109" i="2"/>
  <c r="G109" i="2"/>
  <c r="I109" i="2"/>
  <c r="E109" i="2"/>
  <c r="F109" i="2"/>
  <c r="I22" i="2"/>
  <c r="F22" i="2"/>
  <c r="G22" i="2"/>
  <c r="E22" i="2"/>
  <c r="O22" i="2"/>
  <c r="J22" i="2"/>
  <c r="N22" i="2"/>
  <c r="K22" i="2"/>
  <c r="E93" i="2"/>
  <c r="I93" i="2"/>
  <c r="O15" i="2"/>
  <c r="G15" i="2"/>
  <c r="N15" i="2"/>
  <c r="E15" i="2"/>
  <c r="I15" i="2"/>
  <c r="F15" i="2"/>
  <c r="K15" i="2"/>
  <c r="J15" i="2"/>
  <c r="J36" i="2"/>
  <c r="G36" i="2"/>
  <c r="E36" i="2"/>
  <c r="N36" i="2"/>
  <c r="O36" i="2"/>
  <c r="F36" i="2"/>
  <c r="I36" i="2"/>
  <c r="K36" i="2"/>
  <c r="O43" i="2"/>
  <c r="E43" i="2"/>
  <c r="K43" i="2"/>
  <c r="G43" i="2"/>
  <c r="F43" i="2"/>
  <c r="J43" i="2"/>
  <c r="I43" i="2"/>
  <c r="N43" i="2"/>
  <c r="J113" i="2"/>
  <c r="K113" i="2"/>
  <c r="G113" i="2"/>
  <c r="O113" i="2"/>
  <c r="E113" i="2"/>
  <c r="F113" i="2"/>
  <c r="N113" i="2"/>
  <c r="I113" i="2"/>
  <c r="J59" i="2"/>
  <c r="O59" i="2"/>
  <c r="I59" i="2"/>
  <c r="G59" i="2"/>
  <c r="F59" i="2"/>
  <c r="N59" i="2"/>
  <c r="E59" i="2"/>
  <c r="K59" i="2"/>
  <c r="G26" i="2"/>
  <c r="F26" i="2"/>
  <c r="E26" i="2"/>
  <c r="N26" i="2"/>
  <c r="I26" i="2"/>
  <c r="O26" i="2"/>
  <c r="K26" i="2"/>
  <c r="J26" i="2"/>
  <c r="N111" i="2"/>
  <c r="G111" i="2"/>
  <c r="F111" i="2"/>
  <c r="E111" i="2"/>
  <c r="I111" i="2"/>
  <c r="O111" i="2"/>
  <c r="J111" i="2"/>
  <c r="K111" i="2"/>
  <c r="F107" i="2"/>
  <c r="E107" i="2"/>
  <c r="K107" i="2"/>
  <c r="O107" i="2"/>
  <c r="G107" i="2"/>
  <c r="I107" i="2"/>
  <c r="J107" i="2"/>
  <c r="N107" i="2"/>
  <c r="N103" i="2"/>
  <c r="E103" i="2"/>
  <c r="J103" i="2"/>
  <c r="O103" i="2"/>
  <c r="I103" i="2"/>
  <c r="K103" i="2"/>
  <c r="F103" i="2"/>
  <c r="G103" i="2"/>
  <c r="E106" i="2"/>
  <c r="F106" i="2"/>
  <c r="J80" i="2"/>
  <c r="I80" i="2"/>
  <c r="E80" i="2"/>
  <c r="K80" i="2"/>
  <c r="F80" i="2"/>
  <c r="G80" i="2"/>
  <c r="O80" i="2"/>
  <c r="N80" i="2"/>
  <c r="J57" i="2"/>
  <c r="I57" i="2"/>
  <c r="G57" i="2"/>
  <c r="O57" i="2"/>
  <c r="N57" i="2"/>
  <c r="K57" i="2"/>
  <c r="E57" i="2"/>
  <c r="F57" i="2"/>
  <c r="F54" i="2"/>
  <c r="O55" i="2"/>
  <c r="F55" i="2"/>
  <c r="N55" i="2"/>
  <c r="G55" i="2"/>
  <c r="J55" i="2"/>
  <c r="I55" i="2"/>
  <c r="E55" i="2"/>
  <c r="K55" i="2"/>
  <c r="W52" i="1"/>
  <c r="AB52" i="1" s="1"/>
  <c r="AC52" i="1" s="1"/>
  <c r="AE52" i="1" s="1"/>
  <c r="AF52" i="1" s="1"/>
  <c r="AG52" i="1" s="1"/>
  <c r="K25" i="2"/>
  <c r="N25" i="2"/>
  <c r="E25" i="2"/>
  <c r="J25" i="2"/>
  <c r="G25" i="2"/>
  <c r="I25" i="2"/>
  <c r="F25" i="2"/>
  <c r="O25" i="2"/>
  <c r="H114" i="2"/>
  <c r="K32" i="2"/>
  <c r="F32" i="2"/>
  <c r="J32" i="2"/>
  <c r="I32" i="2"/>
  <c r="E32" i="2"/>
  <c r="G32" i="2"/>
  <c r="N32" i="2"/>
  <c r="O32" i="2"/>
  <c r="N38" i="2"/>
  <c r="O38" i="2"/>
  <c r="J38" i="2"/>
  <c r="I38" i="2"/>
  <c r="K38" i="2"/>
  <c r="E38" i="2"/>
  <c r="G38" i="2"/>
  <c r="F38" i="2"/>
  <c r="O34" i="2"/>
  <c r="J34" i="2"/>
  <c r="I34" i="2"/>
  <c r="E34" i="2"/>
  <c r="G34" i="2"/>
  <c r="F34" i="2"/>
  <c r="K34" i="2"/>
  <c r="N34" i="2"/>
  <c r="O68" i="2"/>
  <c r="I68" i="2"/>
  <c r="J68" i="2"/>
  <c r="E68" i="2"/>
  <c r="N68" i="2"/>
  <c r="G68" i="2"/>
  <c r="K68" i="2"/>
  <c r="F68" i="2"/>
  <c r="J47" i="2"/>
  <c r="O47" i="2"/>
  <c r="F47" i="2"/>
  <c r="N47" i="2"/>
  <c r="G47" i="2"/>
  <c r="K47" i="2"/>
  <c r="I47" i="2"/>
  <c r="E47" i="2"/>
  <c r="H65" i="2"/>
  <c r="O72" i="2"/>
  <c r="N72" i="2"/>
  <c r="F72" i="2"/>
  <c r="J72" i="2"/>
  <c r="I72" i="2"/>
  <c r="K72" i="2"/>
  <c r="E72" i="2"/>
  <c r="G72" i="2"/>
  <c r="K63" i="2"/>
  <c r="N63" i="2"/>
  <c r="J63" i="2"/>
  <c r="O63" i="2"/>
  <c r="F63" i="2"/>
  <c r="G63" i="2"/>
  <c r="E63" i="2"/>
  <c r="I63" i="2"/>
  <c r="O44" i="2"/>
  <c r="K44" i="2"/>
  <c r="F44" i="2"/>
  <c r="J44" i="2"/>
  <c r="E44" i="2"/>
  <c r="N44" i="2"/>
  <c r="I44" i="2"/>
  <c r="G44" i="2"/>
  <c r="N51" i="2"/>
  <c r="I51" i="2"/>
  <c r="K51" i="2"/>
  <c r="E51" i="2"/>
  <c r="F51" i="2"/>
  <c r="O51" i="2"/>
  <c r="J51" i="2"/>
  <c r="G51" i="2"/>
  <c r="L115" i="2"/>
  <c r="K50" i="2"/>
  <c r="F50" i="2"/>
  <c r="I50" i="2"/>
  <c r="E50" i="2"/>
  <c r="G50" i="2"/>
  <c r="O50" i="2"/>
  <c r="N50" i="2"/>
  <c r="J50" i="2"/>
  <c r="E20" i="2"/>
  <c r="F20" i="2"/>
  <c r="K20" i="2"/>
  <c r="G20" i="2"/>
  <c r="I20" i="2"/>
  <c r="J20" i="2"/>
  <c r="N20" i="2"/>
  <c r="O20" i="2"/>
  <c r="H78" i="2"/>
  <c r="J112" i="2"/>
  <c r="K112" i="2"/>
  <c r="I112" i="2"/>
  <c r="F112" i="2"/>
  <c r="O112" i="2"/>
  <c r="E112" i="2"/>
  <c r="N112" i="2"/>
  <c r="G112" i="2"/>
  <c r="L73" i="2"/>
  <c r="K42" i="2"/>
  <c r="I42" i="2"/>
  <c r="G42" i="2"/>
  <c r="J42" i="2"/>
  <c r="F42" i="2"/>
  <c r="O42" i="2"/>
  <c r="N42" i="2"/>
  <c r="E42" i="2"/>
  <c r="E101" i="2"/>
  <c r="G101" i="2"/>
  <c r="F101" i="2"/>
  <c r="L46" i="2"/>
  <c r="I35" i="2"/>
  <c r="G35" i="2"/>
  <c r="F35" i="2"/>
  <c r="J35" i="2"/>
  <c r="O35" i="2"/>
  <c r="N35" i="2"/>
  <c r="E35" i="2"/>
  <c r="K35" i="2"/>
  <c r="N96" i="2"/>
  <c r="F96" i="2"/>
  <c r="O96" i="2"/>
  <c r="K96" i="2"/>
  <c r="E96" i="2"/>
  <c r="J96" i="2"/>
  <c r="I96" i="2"/>
  <c r="G96" i="2"/>
  <c r="G117" i="2"/>
  <c r="O117" i="2"/>
  <c r="N117" i="2"/>
  <c r="K117" i="2"/>
  <c r="I117" i="2"/>
  <c r="F117" i="2"/>
  <c r="J117" i="2"/>
  <c r="E117" i="2"/>
  <c r="O95" i="2"/>
  <c r="I95" i="2"/>
  <c r="N95" i="2"/>
  <c r="J95" i="2"/>
  <c r="F95" i="2"/>
  <c r="K95" i="2"/>
  <c r="G95" i="2"/>
  <c r="E95" i="2"/>
  <c r="N66" i="2"/>
  <c r="K66" i="2"/>
  <c r="O66" i="2"/>
  <c r="J66" i="2"/>
  <c r="G66" i="2"/>
  <c r="F66" i="2"/>
  <c r="I66" i="2"/>
  <c r="E66" i="2"/>
  <c r="K110" i="2"/>
  <c r="E110" i="2"/>
  <c r="J110" i="2"/>
  <c r="N110" i="2"/>
  <c r="G110" i="2"/>
  <c r="O110" i="2"/>
  <c r="I110" i="2"/>
  <c r="F110" i="2"/>
  <c r="J40" i="2"/>
  <c r="G40" i="2"/>
  <c r="E40" i="2"/>
  <c r="N40" i="2"/>
  <c r="K40" i="2"/>
  <c r="O40" i="2"/>
  <c r="F40" i="2"/>
  <c r="I40" i="2"/>
  <c r="I70" i="2"/>
  <c r="J70" i="2"/>
  <c r="E70" i="2"/>
  <c r="N70" i="2"/>
  <c r="G70" i="2"/>
  <c r="O70" i="2"/>
  <c r="F70" i="2"/>
  <c r="K70" i="2"/>
  <c r="AB60" i="1"/>
  <c r="AC60" i="1" s="1"/>
  <c r="AE60" i="1" s="1"/>
  <c r="H73" i="2"/>
  <c r="G11" i="2"/>
  <c r="F11" i="2"/>
  <c r="E11" i="2"/>
  <c r="J11" i="2"/>
  <c r="K11" i="2"/>
  <c r="N11" i="2"/>
  <c r="O11" i="2"/>
  <c r="I11" i="2"/>
  <c r="I79" i="2"/>
  <c r="J79" i="2"/>
  <c r="O79" i="2"/>
  <c r="E79" i="2"/>
  <c r="G79" i="2"/>
  <c r="N79" i="2"/>
  <c r="K79" i="2"/>
  <c r="F79" i="2"/>
  <c r="I119" i="2"/>
  <c r="O119" i="2"/>
  <c r="K119" i="2"/>
  <c r="J119" i="2"/>
  <c r="G119" i="2"/>
  <c r="E119" i="2"/>
  <c r="F119" i="2"/>
  <c r="N119" i="2"/>
  <c r="H75" i="2"/>
  <c r="G49" i="2"/>
  <c r="F49" i="2"/>
  <c r="J49" i="2"/>
  <c r="I49" i="2"/>
  <c r="N49" i="2"/>
  <c r="O49" i="2"/>
  <c r="K49" i="2"/>
  <c r="E49" i="2"/>
  <c r="O41" i="2"/>
  <c r="F41" i="2"/>
  <c r="G41" i="2"/>
  <c r="J41" i="2"/>
  <c r="I41" i="2"/>
  <c r="N41" i="2"/>
  <c r="K41" i="2"/>
  <c r="E41" i="2"/>
  <c r="E61" i="2"/>
  <c r="O61" i="2"/>
  <c r="G61" i="2"/>
  <c r="F61" i="2"/>
  <c r="I61" i="2"/>
  <c r="J61" i="2"/>
  <c r="K61" i="2"/>
  <c r="N61" i="2"/>
  <c r="H115" i="2"/>
  <c r="F48" i="2"/>
  <c r="E48" i="2"/>
  <c r="K48" i="2"/>
  <c r="G48" i="2"/>
  <c r="N48" i="2"/>
  <c r="J48" i="2"/>
  <c r="I48" i="2"/>
  <c r="O48" i="2"/>
  <c r="O21" i="2"/>
  <c r="N21" i="2"/>
  <c r="I21" i="2"/>
  <c r="E21" i="2"/>
  <c r="G21" i="2"/>
  <c r="J21" i="2"/>
  <c r="F21" i="2"/>
  <c r="K21" i="2"/>
  <c r="K13" i="2"/>
  <c r="F13" i="2"/>
  <c r="O13" i="2"/>
  <c r="G13" i="2"/>
  <c r="N13" i="2"/>
  <c r="J13" i="2"/>
  <c r="E13" i="2"/>
  <c r="I13" i="2"/>
  <c r="G17" i="2"/>
  <c r="N17" i="2"/>
  <c r="O17" i="2"/>
  <c r="K17" i="2"/>
  <c r="J17" i="2"/>
  <c r="F17" i="2"/>
  <c r="I17" i="2"/>
  <c r="E17" i="2"/>
  <c r="O64" i="2"/>
  <c r="N64" i="2"/>
  <c r="G64" i="2"/>
  <c r="J64" i="2"/>
  <c r="I64" i="2"/>
  <c r="F64" i="2"/>
  <c r="E64" i="2"/>
  <c r="K64" i="2"/>
  <c r="N28" i="2"/>
  <c r="G28" i="2"/>
  <c r="K28" i="2"/>
  <c r="I28" i="2"/>
  <c r="F28" i="2"/>
  <c r="O28" i="2"/>
  <c r="J28" i="2"/>
  <c r="E28" i="2"/>
  <c r="O116" i="2"/>
  <c r="N116" i="2"/>
  <c r="F116" i="2"/>
  <c r="E116" i="2"/>
  <c r="J116" i="2"/>
  <c r="K116" i="2"/>
  <c r="I116" i="2"/>
  <c r="G116" i="2"/>
  <c r="G108" i="2"/>
  <c r="I108" i="2"/>
  <c r="J108" i="2"/>
  <c r="K108" i="2"/>
  <c r="E108" i="2"/>
  <c r="O108" i="2"/>
  <c r="N108" i="2"/>
  <c r="F108" i="2"/>
  <c r="H97" i="2"/>
  <c r="G76" i="2"/>
  <c r="J76" i="2"/>
  <c r="F76" i="2"/>
  <c r="I76" i="2"/>
  <c r="K76" i="2"/>
  <c r="N76" i="2"/>
  <c r="E76" i="2"/>
  <c r="O76" i="2"/>
  <c r="O102" i="2"/>
  <c r="J102" i="2"/>
  <c r="E102" i="2"/>
  <c r="I102" i="2"/>
  <c r="G102" i="2"/>
  <c r="N102" i="2"/>
  <c r="F102" i="2"/>
  <c r="AB67" i="1"/>
  <c r="AC67" i="1" s="1"/>
  <c r="AI67" i="1" s="1"/>
  <c r="E16" i="2"/>
  <c r="F16" i="2"/>
  <c r="G16" i="2"/>
  <c r="I16" i="2"/>
  <c r="K16" i="2"/>
  <c r="O16" i="2"/>
  <c r="N16" i="2"/>
  <c r="J16" i="2"/>
  <c r="O45" i="2"/>
  <c r="E45" i="2"/>
  <c r="N45" i="2"/>
  <c r="F45" i="2"/>
  <c r="J45" i="2"/>
  <c r="G45" i="2"/>
  <c r="I45" i="2"/>
  <c r="K45" i="2"/>
  <c r="G33" i="2"/>
  <c r="I33" i="2"/>
  <c r="K33" i="2"/>
  <c r="J33" i="2"/>
  <c r="O33" i="2"/>
  <c r="N33" i="2"/>
  <c r="F33" i="2"/>
  <c r="E33" i="2"/>
  <c r="E77" i="2"/>
  <c r="J77" i="2"/>
  <c r="N77" i="2"/>
  <c r="K77" i="2"/>
  <c r="I77" i="2"/>
  <c r="O77" i="2"/>
  <c r="G77" i="2"/>
  <c r="F77" i="2"/>
  <c r="AB19" i="1"/>
  <c r="AC19" i="1" s="1"/>
  <c r="AE19" i="1" s="1"/>
  <c r="AB122" i="1"/>
  <c r="AC122" i="1" s="1"/>
  <c r="AE122" i="1" s="1"/>
  <c r="AF122" i="1" s="1"/>
  <c r="AG122" i="1" s="1"/>
  <c r="AB66" i="1"/>
  <c r="AC66" i="1" s="1"/>
  <c r="AI66" i="1" s="1"/>
  <c r="AB45" i="1"/>
  <c r="AC45" i="1" s="1"/>
  <c r="AB24" i="1"/>
  <c r="AC24" i="1" s="1"/>
  <c r="AI24" i="1" s="1"/>
  <c r="AB30" i="1"/>
  <c r="AC30" i="1" s="1"/>
  <c r="AE30" i="1" s="1"/>
  <c r="AF30" i="1" s="1"/>
  <c r="AG30" i="1" s="1"/>
  <c r="AB71" i="1"/>
  <c r="AC71" i="1" s="1"/>
  <c r="AE71" i="1" s="1"/>
  <c r="AF71" i="1" s="1"/>
  <c r="W61" i="1"/>
  <c r="AB61" i="1" s="1"/>
  <c r="AC61" i="1" s="1"/>
  <c r="AE61" i="1" s="1"/>
  <c r="AF61" i="1" s="1"/>
  <c r="AG61" i="1" s="1"/>
  <c r="W111" i="1"/>
  <c r="AB111" i="1" s="1"/>
  <c r="AC111" i="1" s="1"/>
  <c r="AE111" i="1" s="1"/>
  <c r="W154" i="1"/>
  <c r="W153" i="1" s="1"/>
  <c r="AB119" i="1"/>
  <c r="AC119" i="1" s="1"/>
  <c r="AE119" i="1" s="1"/>
  <c r="AF119" i="1" s="1"/>
  <c r="AG119" i="1" s="1"/>
  <c r="AB50" i="1"/>
  <c r="AC50" i="1" s="1"/>
  <c r="AI50" i="1" s="1"/>
  <c r="AB99" i="1"/>
  <c r="AC99" i="1" s="1"/>
  <c r="AE99" i="1" s="1"/>
  <c r="AF99" i="1" s="1"/>
  <c r="AG99" i="1" s="1"/>
  <c r="AB68" i="1"/>
  <c r="AC68" i="1" s="1"/>
  <c r="AE68" i="1" s="1"/>
  <c r="W98" i="1"/>
  <c r="AB98" i="1" s="1"/>
  <c r="AC98" i="1" s="1"/>
  <c r="AE98" i="1" s="1"/>
  <c r="W21" i="1"/>
  <c r="AB21" i="1" s="1"/>
  <c r="AC21" i="1" s="1"/>
  <c r="W115" i="1"/>
  <c r="AB115" i="1" s="1"/>
  <c r="AC115" i="1" s="1"/>
  <c r="AE115" i="1" s="1"/>
  <c r="W57" i="1"/>
  <c r="AB57" i="1" s="1"/>
  <c r="AC57" i="1" s="1"/>
  <c r="AI57" i="1" s="1"/>
  <c r="W113" i="1"/>
  <c r="AB113" i="1" s="1"/>
  <c r="AC113" i="1" s="1"/>
  <c r="AE113" i="1" s="1"/>
  <c r="W77" i="1"/>
  <c r="AB77" i="1" s="1"/>
  <c r="AC77" i="1" s="1"/>
  <c r="W82" i="1"/>
  <c r="AB82" i="1" s="1"/>
  <c r="W28" i="1"/>
  <c r="AB28" i="1" s="1"/>
  <c r="AC28" i="1" s="1"/>
  <c r="W123" i="1"/>
  <c r="AB123" i="1" s="1"/>
  <c r="AC123" i="1" s="1"/>
  <c r="AE123" i="1" s="1"/>
  <c r="AI155" i="1"/>
  <c r="AE155" i="1"/>
  <c r="W79" i="1"/>
  <c r="AB79" i="1" s="1"/>
  <c r="AC79" i="1" s="1"/>
  <c r="W41" i="1"/>
  <c r="AB41" i="1" s="1"/>
  <c r="AC41" i="1" s="1"/>
  <c r="AE41" i="1" s="1"/>
  <c r="W101" i="1"/>
  <c r="AB101" i="1" s="1"/>
  <c r="AC101" i="1" s="1"/>
  <c r="AE101" i="1" s="1"/>
  <c r="W39" i="1"/>
  <c r="AB39" i="1" s="1"/>
  <c r="AC39" i="1" s="1"/>
  <c r="AE39" i="1" s="1"/>
  <c r="W118" i="1"/>
  <c r="AB118" i="1" s="1"/>
  <c r="AC118" i="1" s="1"/>
  <c r="W47" i="1"/>
  <c r="AB47" i="1" s="1"/>
  <c r="AC47" i="1" s="1"/>
  <c r="AE47" i="1" s="1"/>
  <c r="W114" i="1"/>
  <c r="AB114" i="1" s="1"/>
  <c r="AC114" i="1" s="1"/>
  <c r="AE114" i="1" s="1"/>
  <c r="W20" i="1"/>
  <c r="AB20" i="1" s="1"/>
  <c r="AC20" i="1" s="1"/>
  <c r="W117" i="1"/>
  <c r="AB117" i="1" s="1"/>
  <c r="AC117" i="1" s="1"/>
  <c r="AE117" i="1" s="1"/>
  <c r="W43" i="1"/>
  <c r="AB43" i="1" s="1"/>
  <c r="AC43" i="1" s="1"/>
  <c r="AE43" i="1" s="1"/>
  <c r="W42" i="1"/>
  <c r="AB42" i="1" s="1"/>
  <c r="AC42" i="1" s="1"/>
  <c r="AE42" i="1" s="1"/>
  <c r="W37" i="1"/>
  <c r="AB37" i="1" s="1"/>
  <c r="AC37" i="1" s="1"/>
  <c r="AE37" i="1" s="1"/>
  <c r="AB18" i="1"/>
  <c r="AC18" i="1" s="1"/>
  <c r="AE18" i="1" s="1"/>
  <c r="W55" i="1"/>
  <c r="AB55" i="1" s="1"/>
  <c r="AC55" i="1" s="1"/>
  <c r="W121" i="1"/>
  <c r="AB121" i="1" s="1"/>
  <c r="AC121" i="1" s="1"/>
  <c r="AE121" i="1" s="1"/>
  <c r="W69" i="1"/>
  <c r="AB69" i="1" s="1"/>
  <c r="AC69" i="1" s="1"/>
  <c r="AF163" i="1"/>
  <c r="AG163" i="1" s="1"/>
  <c r="W38" i="1"/>
  <c r="AB38" i="1" s="1"/>
  <c r="AC38" i="1" s="1"/>
  <c r="AE38" i="1" s="1"/>
  <c r="W116" i="1"/>
  <c r="AB116" i="1" s="1"/>
  <c r="AC116" i="1" s="1"/>
  <c r="AE116" i="1" s="1"/>
  <c r="W35" i="1"/>
  <c r="AB35" i="1" s="1"/>
  <c r="AC35" i="1" s="1"/>
  <c r="AE35" i="1" s="1"/>
  <c r="W112" i="1"/>
  <c r="AB112" i="1" s="1"/>
  <c r="AC112" i="1" s="1"/>
  <c r="AE112" i="1" s="1"/>
  <c r="W89" i="1"/>
  <c r="W40" i="1"/>
  <c r="AB40" i="1" s="1"/>
  <c r="AC40" i="1" s="1"/>
  <c r="AE40" i="1" s="1"/>
  <c r="W54" i="1"/>
  <c r="AB54" i="1" s="1"/>
  <c r="AC54" i="1" s="1"/>
  <c r="AE54" i="1" s="1"/>
  <c r="W124" i="1"/>
  <c r="AB124" i="1" s="1"/>
  <c r="AC124" i="1" s="1"/>
  <c r="AE124" i="1" s="1"/>
  <c r="W62" i="1"/>
  <c r="AB62" i="1" s="1"/>
  <c r="AC62" i="1" s="1"/>
  <c r="AE62" i="1" s="1"/>
  <c r="W48" i="1"/>
  <c r="AB48" i="1" s="1"/>
  <c r="AC48" i="1" s="1"/>
  <c r="AB44" i="1"/>
  <c r="AC44" i="1" s="1"/>
  <c r="T17" i="1"/>
  <c r="T16" i="1" s="1"/>
  <c r="AF165" i="1"/>
  <c r="AG165" i="1" s="1"/>
  <c r="W72" i="1"/>
  <c r="AB72" i="1" s="1"/>
  <c r="AC72" i="1" s="1"/>
  <c r="AG71" i="1" l="1"/>
  <c r="D20" i="5"/>
  <c r="T166" i="1"/>
  <c r="Q166" i="1"/>
  <c r="AD166" i="1"/>
  <c r="D125" i="2"/>
  <c r="H93" i="2"/>
  <c r="L101" i="2"/>
  <c r="L54" i="2"/>
  <c r="L93" i="2"/>
  <c r="AE59" i="1"/>
  <c r="AF59" i="1" s="1"/>
  <c r="AG59" i="1" s="1"/>
  <c r="AI59" i="1"/>
  <c r="AE57" i="1"/>
  <c r="C18" i="5"/>
  <c r="C47" i="5" s="1"/>
  <c r="H30" i="2"/>
  <c r="AE23" i="1"/>
  <c r="AF23" i="1" s="1"/>
  <c r="AI23" i="1"/>
  <c r="H106" i="2"/>
  <c r="AE110" i="1"/>
  <c r="AG110" i="1" s="1"/>
  <c r="L106" i="2"/>
  <c r="H63" i="2"/>
  <c r="AF90" i="1"/>
  <c r="AG90" i="1" s="1"/>
  <c r="AB87" i="1"/>
  <c r="AC87" i="1" s="1"/>
  <c r="AE87" i="1" s="1"/>
  <c r="AF87" i="1" s="1"/>
  <c r="AG87" i="1" s="1"/>
  <c r="AC82" i="1"/>
  <c r="AE82" i="1" s="1"/>
  <c r="AF82" i="1" s="1"/>
  <c r="AG82" i="1" s="1"/>
  <c r="AB96" i="1"/>
  <c r="AC96" i="1" s="1"/>
  <c r="AE96" i="1" s="1"/>
  <c r="AG96" i="1" s="1"/>
  <c r="AB89" i="1"/>
  <c r="AC89" i="1" s="1"/>
  <c r="AI89" i="1" s="1"/>
  <c r="AI53" i="1"/>
  <c r="AI46" i="1"/>
  <c r="C44" i="5"/>
  <c r="F10" i="5"/>
  <c r="AE58" i="1"/>
  <c r="AB154" i="1"/>
  <c r="AB153" i="1" s="1"/>
  <c r="W13" i="1"/>
  <c r="W12" i="1" s="1"/>
  <c r="W34" i="1"/>
  <c r="AE75" i="1"/>
  <c r="AF75" i="1" s="1"/>
  <c r="AG75" i="1" s="1"/>
  <c r="AI73" i="1"/>
  <c r="AI70" i="1"/>
  <c r="AI36" i="1"/>
  <c r="AI76" i="1"/>
  <c r="AE51" i="1"/>
  <c r="AF51" i="1" s="1"/>
  <c r="AG51" i="1" s="1"/>
  <c r="AE106" i="1"/>
  <c r="AF106" i="1" s="1"/>
  <c r="AG106" i="1" s="1"/>
  <c r="AE105" i="1"/>
  <c r="AE64" i="1"/>
  <c r="AF64" i="1" s="1"/>
  <c r="AG64" i="1" s="1"/>
  <c r="AI100" i="1"/>
  <c r="AE81" i="1"/>
  <c r="AF81" i="1" s="1"/>
  <c r="AG81" i="1" s="1"/>
  <c r="H59" i="2"/>
  <c r="AE27" i="1"/>
  <c r="AG27" i="1" s="1"/>
  <c r="AI120" i="1"/>
  <c r="L96" i="2"/>
  <c r="H26" i="2"/>
  <c r="L57" i="2"/>
  <c r="L77" i="2"/>
  <c r="H64" i="2"/>
  <c r="H66" i="2"/>
  <c r="H94" i="2"/>
  <c r="L28" i="2"/>
  <c r="L60" i="2"/>
  <c r="AI60" i="1"/>
  <c r="H48" i="2"/>
  <c r="L103" i="2"/>
  <c r="L76" i="2"/>
  <c r="H70" i="2"/>
  <c r="L110" i="2"/>
  <c r="H34" i="2"/>
  <c r="L25" i="2"/>
  <c r="H58" i="2"/>
  <c r="H50" i="2"/>
  <c r="AE67" i="1"/>
  <c r="AF67" i="1" s="1"/>
  <c r="AG67" i="1" s="1"/>
  <c r="H45" i="2"/>
  <c r="H116" i="2"/>
  <c r="H17" i="2"/>
  <c r="L41" i="2"/>
  <c r="L34" i="2"/>
  <c r="H54" i="2"/>
  <c r="L107" i="2"/>
  <c r="H120" i="2"/>
  <c r="L30" i="2"/>
  <c r="AI107" i="1"/>
  <c r="L116" i="2"/>
  <c r="L17" i="2"/>
  <c r="L48" i="2"/>
  <c r="F10" i="2"/>
  <c r="L112" i="2"/>
  <c r="H39" i="2"/>
  <c r="L74" i="2"/>
  <c r="L71" i="2"/>
  <c r="H38" i="2"/>
  <c r="H77" i="2"/>
  <c r="L102" i="2"/>
  <c r="L40" i="2"/>
  <c r="H95" i="2"/>
  <c r="H60" i="2"/>
  <c r="H35" i="2"/>
  <c r="H42" i="2"/>
  <c r="H47" i="2"/>
  <c r="H71" i="2"/>
  <c r="O31" i="2"/>
  <c r="L55" i="2"/>
  <c r="L36" i="2"/>
  <c r="I14" i="2"/>
  <c r="L15" i="2"/>
  <c r="L70" i="2"/>
  <c r="H25" i="2"/>
  <c r="G14" i="2"/>
  <c r="H102" i="2"/>
  <c r="H68" i="2"/>
  <c r="E31" i="2"/>
  <c r="H32" i="2"/>
  <c r="H57" i="2"/>
  <c r="H80" i="2"/>
  <c r="L59" i="2"/>
  <c r="O14" i="2"/>
  <c r="H52" i="2"/>
  <c r="L33" i="2"/>
  <c r="L61" i="2"/>
  <c r="H119" i="2"/>
  <c r="H110" i="2"/>
  <c r="L51" i="2"/>
  <c r="L47" i="2"/>
  <c r="I31" i="2"/>
  <c r="L32" i="2"/>
  <c r="L80" i="2"/>
  <c r="H107" i="2"/>
  <c r="L43" i="2"/>
  <c r="H36" i="2"/>
  <c r="H22" i="2"/>
  <c r="L69" i="2"/>
  <c r="H15" i="2"/>
  <c r="E14" i="2"/>
  <c r="H51" i="2"/>
  <c r="H49" i="2"/>
  <c r="L68" i="2"/>
  <c r="L58" i="2"/>
  <c r="L16" i="2"/>
  <c r="L11" i="2"/>
  <c r="I10" i="2"/>
  <c r="L50" i="2"/>
  <c r="F31" i="2"/>
  <c r="L39" i="2"/>
  <c r="L118" i="2"/>
  <c r="H37" i="2"/>
  <c r="N14" i="2"/>
  <c r="H79" i="2"/>
  <c r="H74" i="2"/>
  <c r="H69" i="2"/>
  <c r="L45" i="2"/>
  <c r="H108" i="2"/>
  <c r="L64" i="2"/>
  <c r="O10" i="2"/>
  <c r="H40" i="2"/>
  <c r="L66" i="2"/>
  <c r="L44" i="2"/>
  <c r="H72" i="2"/>
  <c r="L38" i="2"/>
  <c r="K31" i="2"/>
  <c r="L113" i="2"/>
  <c r="J14" i="2"/>
  <c r="L22" i="2"/>
  <c r="L120" i="2"/>
  <c r="L67" i="2"/>
  <c r="L37" i="2"/>
  <c r="H19" i="2"/>
  <c r="E10" i="2"/>
  <c r="H11" i="2"/>
  <c r="G10" i="2"/>
  <c r="H101" i="2"/>
  <c r="H76" i="2"/>
  <c r="H28" i="2"/>
  <c r="L13" i="2"/>
  <c r="H21" i="2"/>
  <c r="H61" i="2"/>
  <c r="N10" i="2"/>
  <c r="L95" i="2"/>
  <c r="L20" i="2"/>
  <c r="H103" i="2"/>
  <c r="K14" i="2"/>
  <c r="H118" i="2"/>
  <c r="L117" i="2"/>
  <c r="H56" i="2"/>
  <c r="J31" i="2"/>
  <c r="L26" i="2"/>
  <c r="L94" i="2"/>
  <c r="H16" i="2"/>
  <c r="H13" i="2"/>
  <c r="L21" i="2"/>
  <c r="H41" i="2"/>
  <c r="L49" i="2"/>
  <c r="L119" i="2"/>
  <c r="K10" i="2"/>
  <c r="H96" i="2"/>
  <c r="L35" i="2"/>
  <c r="L42" i="2"/>
  <c r="H20" i="2"/>
  <c r="H44" i="2"/>
  <c r="L72" i="2"/>
  <c r="L111" i="2"/>
  <c r="H43" i="2"/>
  <c r="F14" i="2"/>
  <c r="H109" i="2"/>
  <c r="L56" i="2"/>
  <c r="H67" i="2"/>
  <c r="L19" i="2"/>
  <c r="N31" i="2"/>
  <c r="G31" i="2"/>
  <c r="L79" i="2"/>
  <c r="H33" i="2"/>
  <c r="L108" i="2"/>
  <c r="J10" i="2"/>
  <c r="H117" i="2"/>
  <c r="H112" i="2"/>
  <c r="L63" i="2"/>
  <c r="H55" i="2"/>
  <c r="H111" i="2"/>
  <c r="H113" i="2"/>
  <c r="L109" i="2"/>
  <c r="L52" i="2"/>
  <c r="AI19" i="1"/>
  <c r="AI52" i="1"/>
  <c r="AI78" i="1"/>
  <c r="AI122" i="1"/>
  <c r="AE66" i="1"/>
  <c r="AG66" i="1" s="1"/>
  <c r="AE97" i="1"/>
  <c r="AF97" i="1" s="1"/>
  <c r="AG97" i="1" s="1"/>
  <c r="AI80" i="1"/>
  <c r="AI49" i="1"/>
  <c r="AI30" i="1"/>
  <c r="AE50" i="1"/>
  <c r="AF50" i="1" s="1"/>
  <c r="AG50" i="1" s="1"/>
  <c r="AI61" i="1"/>
  <c r="AI74" i="1"/>
  <c r="AE24" i="1"/>
  <c r="AI68" i="1"/>
  <c r="AI45" i="1"/>
  <c r="AE45" i="1"/>
  <c r="AF45" i="1" s="1"/>
  <c r="AG45" i="1" s="1"/>
  <c r="AE78" i="1"/>
  <c r="AF78" i="1" s="1"/>
  <c r="AG78" i="1" s="1"/>
  <c r="AI99" i="1"/>
  <c r="AI71" i="1"/>
  <c r="AF68" i="1"/>
  <c r="AG68" i="1" s="1"/>
  <c r="AF111" i="1"/>
  <c r="AG111" i="1" s="1"/>
  <c r="AI119" i="1"/>
  <c r="AI154" i="1"/>
  <c r="AI153" i="1" s="1"/>
  <c r="AE154" i="1"/>
  <c r="AE153" i="1" s="1"/>
  <c r="AI111" i="1"/>
  <c r="AF37" i="1"/>
  <c r="AG37" i="1" s="1"/>
  <c r="AF42" i="1"/>
  <c r="AG42" i="1" s="1"/>
  <c r="AF40" i="1"/>
  <c r="AG40" i="1" s="1"/>
  <c r="AF123" i="1"/>
  <c r="AG123" i="1" s="1"/>
  <c r="AF117" i="1"/>
  <c r="AG117" i="1" s="1"/>
  <c r="AF62" i="1"/>
  <c r="AG62" i="1" s="1"/>
  <c r="AF60" i="1"/>
  <c r="AG60" i="1" s="1"/>
  <c r="AF76" i="1"/>
  <c r="AG76" i="1" s="1"/>
  <c r="AI72" i="1"/>
  <c r="AI44" i="1"/>
  <c r="AF54" i="1"/>
  <c r="AG54" i="1" s="1"/>
  <c r="AI35" i="1"/>
  <c r="AI18" i="1"/>
  <c r="AI118" i="1"/>
  <c r="AF41" i="1"/>
  <c r="AG41" i="1" s="1"/>
  <c r="AI98" i="1"/>
  <c r="AI20" i="1"/>
  <c r="AF19" i="1"/>
  <c r="AG19" i="1" s="1"/>
  <c r="AF35" i="1"/>
  <c r="AF18" i="1"/>
  <c r="AG18" i="1" s="1"/>
  <c r="AF98" i="1"/>
  <c r="AG98" i="1" s="1"/>
  <c r="AF100" i="1"/>
  <c r="AG100" i="1" s="1"/>
  <c r="AI116" i="1"/>
  <c r="AI43" i="1"/>
  <c r="AI48" i="1"/>
  <c r="AF115" i="1"/>
  <c r="AG115" i="1" s="1"/>
  <c r="AF70" i="1"/>
  <c r="AG70" i="1" s="1"/>
  <c r="AI124" i="1"/>
  <c r="AI40" i="1"/>
  <c r="AF116" i="1"/>
  <c r="AG116" i="1" s="1"/>
  <c r="AF43" i="1"/>
  <c r="AG43" i="1" s="1"/>
  <c r="AI39" i="1"/>
  <c r="AF155" i="1"/>
  <c r="AG155" i="1" s="1"/>
  <c r="AI115" i="1"/>
  <c r="AF124" i="1"/>
  <c r="AG124" i="1" s="1"/>
  <c r="AI69" i="1"/>
  <c r="W17" i="1"/>
  <c r="W16" i="1" s="1"/>
  <c r="AE48" i="1"/>
  <c r="AF38" i="1"/>
  <c r="AG38" i="1" s="1"/>
  <c r="AE69" i="1"/>
  <c r="AE20" i="1"/>
  <c r="AI114" i="1"/>
  <c r="AI77" i="1"/>
  <c r="AF120" i="1"/>
  <c r="AG120" i="1" s="1"/>
  <c r="AI38" i="1"/>
  <c r="AI117" i="1"/>
  <c r="AE77" i="1"/>
  <c r="AF39" i="1"/>
  <c r="AG39" i="1" s="1"/>
  <c r="AI63" i="1"/>
  <c r="AE63" i="1"/>
  <c r="AI123" i="1"/>
  <c r="AI21" i="1"/>
  <c r="AI62" i="1"/>
  <c r="AI121" i="1"/>
  <c r="AI47" i="1"/>
  <c r="AI101" i="1"/>
  <c r="AF113" i="1"/>
  <c r="AG113" i="1" s="1"/>
  <c r="AE21" i="1"/>
  <c r="AI37" i="1"/>
  <c r="AF112" i="1"/>
  <c r="AG112" i="1" s="1"/>
  <c r="AI55" i="1"/>
  <c r="AI42" i="1"/>
  <c r="AF47" i="1"/>
  <c r="AG47" i="1" s="1"/>
  <c r="AF101" i="1"/>
  <c r="AG101" i="1" s="1"/>
  <c r="AI79" i="1"/>
  <c r="AI28" i="1"/>
  <c r="AI113" i="1"/>
  <c r="AF121" i="1"/>
  <c r="AG121" i="1" s="1"/>
  <c r="AE72" i="1"/>
  <c r="AI54" i="1"/>
  <c r="AI112" i="1"/>
  <c r="AF53" i="1"/>
  <c r="AG53" i="1" s="1"/>
  <c r="W88" i="1"/>
  <c r="AB88" i="1" s="1"/>
  <c r="AC88" i="1" s="1"/>
  <c r="AE55" i="1"/>
  <c r="AE118" i="1"/>
  <c r="AI41" i="1"/>
  <c r="AE79" i="1"/>
  <c r="AE28" i="1"/>
  <c r="AE44" i="1"/>
  <c r="L10" i="2" l="1"/>
  <c r="H10" i="2"/>
  <c r="P14" i="2"/>
  <c r="L31" i="2"/>
  <c r="H31" i="2"/>
  <c r="H14" i="2"/>
  <c r="P31" i="2"/>
  <c r="L14" i="2"/>
  <c r="P10" i="2"/>
  <c r="AF57" i="1"/>
  <c r="AG57" i="1" s="1"/>
  <c r="AF58" i="1"/>
  <c r="AG58" i="1" s="1"/>
  <c r="W33" i="1"/>
  <c r="W166" i="1" s="1"/>
  <c r="AI82" i="1"/>
  <c r="AF24" i="1"/>
  <c r="AG24" i="1" s="1"/>
  <c r="AG23" i="1"/>
  <c r="AF105" i="1"/>
  <c r="AG105" i="1" s="1"/>
  <c r="AI96" i="1"/>
  <c r="AE89" i="1"/>
  <c r="AF89" i="1" s="1"/>
  <c r="AG89" i="1" s="1"/>
  <c r="AI87" i="1"/>
  <c r="F39" i="5"/>
  <c r="AB34" i="1"/>
  <c r="AB33" i="1" s="1"/>
  <c r="AB13" i="1"/>
  <c r="AB12" i="1" s="1"/>
  <c r="AG35" i="1"/>
  <c r="I125" i="2"/>
  <c r="F125" i="2"/>
  <c r="K125" i="2"/>
  <c r="J125" i="2"/>
  <c r="G125" i="2"/>
  <c r="E125" i="2"/>
  <c r="N125" i="2"/>
  <c r="O125" i="2"/>
  <c r="AF154" i="1"/>
  <c r="AF153" i="1" s="1"/>
  <c r="AF44" i="1"/>
  <c r="AG44" i="1" s="1"/>
  <c r="AF55" i="1"/>
  <c r="AG55" i="1" s="1"/>
  <c r="AF48" i="1"/>
  <c r="AG48" i="1" s="1"/>
  <c r="AF72" i="1"/>
  <c r="AG72" i="1" s="1"/>
  <c r="AF63" i="1"/>
  <c r="AG63" i="1" s="1"/>
  <c r="AB17" i="1"/>
  <c r="AB16" i="1" s="1"/>
  <c r="AF28" i="1"/>
  <c r="AG28" i="1" s="1"/>
  <c r="AF79" i="1"/>
  <c r="AG79" i="1" s="1"/>
  <c r="AF77" i="1"/>
  <c r="AG77" i="1" s="1"/>
  <c r="AF20" i="1"/>
  <c r="AG20" i="1" s="1"/>
  <c r="AF114" i="1"/>
  <c r="AG114" i="1" s="1"/>
  <c r="AF21" i="1"/>
  <c r="AG21" i="1" s="1"/>
  <c r="AF118" i="1"/>
  <c r="AG118" i="1" s="1"/>
  <c r="AF69" i="1"/>
  <c r="AG69" i="1" s="1"/>
  <c r="AB166" i="1" l="1"/>
  <c r="L125" i="2"/>
  <c r="H125" i="2"/>
  <c r="P125" i="2"/>
  <c r="M31" i="2"/>
  <c r="M10" i="2"/>
  <c r="M14" i="2"/>
  <c r="AC13" i="1"/>
  <c r="AC34" i="1"/>
  <c r="AI88" i="1"/>
  <c r="AE88" i="1"/>
  <c r="AG154" i="1"/>
  <c r="AG153" i="1" s="1"/>
  <c r="AC17" i="1"/>
  <c r="AC16" i="1" s="1"/>
  <c r="AC12" i="1" l="1"/>
  <c r="F14" i="5"/>
  <c r="F18" i="5" s="1"/>
  <c r="AE34" i="1"/>
  <c r="AE33" i="1" s="1"/>
  <c r="AC33" i="1"/>
  <c r="AC166" i="1" s="1"/>
  <c r="AE13" i="1"/>
  <c r="F46" i="5"/>
  <c r="M125" i="2"/>
  <c r="AI34" i="1"/>
  <c r="AI33" i="1" s="1"/>
  <c r="AI13" i="1"/>
  <c r="AI12" i="1" s="1"/>
  <c r="AF88" i="1"/>
  <c r="AI17" i="1"/>
  <c r="AI16" i="1" s="1"/>
  <c r="AE17" i="1"/>
  <c r="AE16" i="1" s="1"/>
  <c r="D21" i="5"/>
  <c r="AI166" i="1" l="1"/>
  <c r="AE12" i="1"/>
  <c r="AE166" i="1" s="1"/>
  <c r="D19" i="5"/>
  <c r="AF33" i="1"/>
  <c r="AG88" i="1"/>
  <c r="F43" i="5"/>
  <c r="F47" i="5"/>
  <c r="AG34" i="1"/>
  <c r="AG13" i="1"/>
  <c r="AG12" i="1" s="1"/>
  <c r="AF17" i="1"/>
  <c r="AF16" i="1" s="1"/>
  <c r="AF166" i="1" l="1"/>
  <c r="D48" i="5"/>
  <c r="AG17" i="1"/>
  <c r="AG16" i="1" s="1"/>
  <c r="AG33" i="1" l="1"/>
  <c r="AG166" i="1" s="1"/>
  <c r="D50" i="5"/>
  <c r="D22" i="5"/>
  <c r="D51" i="5" s="1"/>
  <c r="D49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DINH THI KIM LOAN</author>
    <author>WELLCOM</author>
  </authors>
  <commentList>
    <comment ref="AF13" authorId="0" shapeId="0" xr:uid="{45157952-4C19-4780-87F9-3FB00D5380D4}">
      <text>
        <r>
          <rPr>
            <b/>
            <sz val="9"/>
            <color indexed="81"/>
            <rFont val="Tahoma"/>
            <family val="2"/>
          </rPr>
          <t>THÁNG 8:</t>
        </r>
        <r>
          <rPr>
            <sz val="9"/>
            <color indexed="81"/>
            <rFont val="Tahoma"/>
            <family val="2"/>
          </rPr>
          <t xml:space="preserve">
Chi lương 60TR</t>
        </r>
      </text>
    </comment>
    <comment ref="T38" authorId="0" shapeId="0" xr:uid="{1D786925-AE88-4519-AA15-3B186962C554}">
      <text>
        <r>
          <rPr>
            <b/>
            <sz val="9"/>
            <color indexed="81"/>
            <rFont val="Tahoma"/>
            <family val="2"/>
          </rPr>
          <t>THÁNG 8:
Phụ cấp 1TR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39" authorId="0" shapeId="0" xr:uid="{95520569-9905-4676-92F6-D77E22075D34}">
      <text>
        <r>
          <rPr>
            <b/>
            <sz val="9"/>
            <color indexed="81"/>
            <rFont val="Tahoma"/>
            <family val="2"/>
          </rPr>
          <t>THÁNG 08:</t>
        </r>
        <r>
          <rPr>
            <sz val="9"/>
            <color indexed="81"/>
            <rFont val="Tahoma"/>
            <family val="2"/>
          </rPr>
          <t xml:space="preserve">
Phụ cấp 300K</t>
        </r>
      </text>
    </comment>
    <comment ref="T41" authorId="0" shapeId="0" xr:uid="{8979774D-63A9-4249-A38C-21EC02CDD958}">
      <text>
        <r>
          <rPr>
            <b/>
            <sz val="9"/>
            <color indexed="81"/>
            <rFont val="Tahoma"/>
            <family val="2"/>
          </rPr>
          <t>THÁNG 8:</t>
        </r>
        <r>
          <rPr>
            <sz val="9"/>
            <color indexed="81"/>
            <rFont val="Tahoma"/>
            <family val="2"/>
          </rPr>
          <t xml:space="preserve">
Tăng 500K</t>
        </r>
      </text>
    </comment>
    <comment ref="T42" authorId="0" shapeId="0" xr:uid="{E0977186-364B-4979-8AFC-7DB9F627E424}">
      <text>
        <r>
          <rPr>
            <b/>
            <sz val="9"/>
            <color indexed="81"/>
            <rFont val="Tahoma"/>
            <family val="2"/>
          </rPr>
          <t xml:space="preserve">THÁNG 8:
</t>
        </r>
        <r>
          <rPr>
            <sz val="9"/>
            <color indexed="81"/>
            <rFont val="Tahoma"/>
            <family val="2"/>
          </rPr>
          <t>Tăng 500K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45" authorId="0" shapeId="0" xr:uid="{EE1DDB14-1EDC-4FAA-B2F3-BA888E761BCC}">
      <text>
        <r>
          <rPr>
            <b/>
            <sz val="9"/>
            <color indexed="81"/>
            <rFont val="Tahoma"/>
            <family val="2"/>
          </rPr>
          <t>THÁNG 8:</t>
        </r>
        <r>
          <rPr>
            <sz val="9"/>
            <color indexed="81"/>
            <rFont val="Tahoma"/>
            <family val="2"/>
          </rPr>
          <t xml:space="preserve">
Tăng 500K</t>
        </r>
      </text>
    </comment>
    <comment ref="T47" authorId="0" shapeId="0" xr:uid="{61862EF5-7396-4A9E-A71A-40A8449354E3}">
      <text>
        <r>
          <rPr>
            <b/>
            <sz val="9"/>
            <color indexed="81"/>
            <rFont val="Tahoma"/>
            <family val="2"/>
          </rPr>
          <t>THÁNG 8:</t>
        </r>
        <r>
          <rPr>
            <sz val="9"/>
            <color indexed="81"/>
            <rFont val="Tahoma"/>
            <family val="2"/>
          </rPr>
          <t xml:space="preserve">
Tăng 500K</t>
        </r>
      </text>
    </comment>
    <comment ref="T52" authorId="0" shapeId="0" xr:uid="{408A4B27-B88E-4253-ACE0-03CDEC5EF414}">
      <text>
        <r>
          <rPr>
            <b/>
            <sz val="9"/>
            <color indexed="81"/>
            <rFont val="Tahoma"/>
            <family val="2"/>
          </rPr>
          <t>THÁNG 8:</t>
        </r>
        <r>
          <rPr>
            <sz val="9"/>
            <color indexed="81"/>
            <rFont val="Tahoma"/>
            <family val="2"/>
          </rPr>
          <t xml:space="preserve">
Tăng 500K</t>
        </r>
      </text>
    </comment>
    <comment ref="T56" authorId="0" shapeId="0" xr:uid="{70652133-82AF-42D1-A04E-3486571A3FF2}">
      <text>
        <r>
          <rPr>
            <b/>
            <sz val="9"/>
            <color indexed="81"/>
            <rFont val="Tahoma"/>
            <family val="2"/>
          </rPr>
          <t xml:space="preserve">THÁNG 8:
</t>
        </r>
        <r>
          <rPr>
            <sz val="9"/>
            <color indexed="81"/>
            <rFont val="Tahoma"/>
            <family val="2"/>
          </rPr>
          <t xml:space="preserve">Tăng 500K
</t>
        </r>
      </text>
    </comment>
    <comment ref="B135" authorId="0" shapeId="0" xr:uid="{112244BE-E0C7-4385-B1EC-5E85333C000A}">
      <text>
        <r>
          <rPr>
            <b/>
            <sz val="9"/>
            <color indexed="81"/>
            <rFont val="Arial"/>
            <family val="2"/>
          </rPr>
          <t>THỬ VIỆC: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35" authorId="0" shapeId="0" xr:uid="{90CF8D9B-5DA8-4D57-841C-6A49F5F2FAF9}">
      <text>
        <r>
          <rPr>
            <b/>
            <sz val="10"/>
            <color indexed="81"/>
            <rFont val="Tahoma"/>
            <family val="2"/>
          </rPr>
          <t xml:space="preserve">NĂM 2024:
</t>
        </r>
        <r>
          <rPr>
            <sz val="10"/>
            <color indexed="81"/>
            <rFont val="Tahoma"/>
            <family val="2"/>
          </rPr>
          <t>Thu nhập 2 nơi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42" authorId="0" shapeId="0" xr:uid="{0500E545-3B31-4023-A80D-D5667342738B}">
      <text>
        <r>
          <rPr>
            <b/>
            <sz val="9"/>
            <color indexed="81"/>
            <rFont val="Tahoma"/>
            <family val="2"/>
          </rPr>
          <t xml:space="preserve">THÁNG 8:
</t>
        </r>
        <r>
          <rPr>
            <sz val="9"/>
            <color indexed="81"/>
            <rFont val="Tahoma"/>
            <family val="2"/>
          </rPr>
          <t xml:space="preserve">Tăng  500K. Tổng lương chính thức: 6,5TR
</t>
        </r>
      </text>
    </comment>
    <comment ref="T143" authorId="0" shapeId="0" xr:uid="{C7ACEDAD-3BFF-4D52-8080-BF09DAD4EA0A}">
      <text>
        <r>
          <rPr>
            <b/>
            <sz val="9"/>
            <color indexed="81"/>
            <rFont val="Tahoma"/>
            <family val="2"/>
          </rPr>
          <t xml:space="preserve">THÁNG 8:
</t>
        </r>
        <r>
          <rPr>
            <sz val="9"/>
            <color indexed="81"/>
            <rFont val="Tahoma"/>
            <family val="2"/>
          </rPr>
          <t xml:space="preserve">Tăng  500K. Tổng lương chính thức: 6,5TR
</t>
        </r>
      </text>
    </comment>
    <comment ref="G156" authorId="1" shapeId="0" xr:uid="{79B20022-2DF5-4337-8A02-1D89430E6C98}">
      <text>
        <r>
          <rPr>
            <sz val="9"/>
            <color indexed="81"/>
            <rFont val="Tahoma"/>
            <family val="2"/>
          </rPr>
          <t xml:space="preserve">Đã bao gồm PC Bằng
</t>
        </r>
      </text>
    </comment>
    <comment ref="G157" authorId="1" shapeId="0" xr:uid="{F3F27446-309A-496E-8768-07E03AEFC8D2}">
      <text>
        <r>
          <rPr>
            <sz val="9"/>
            <color indexed="81"/>
            <rFont val="Tahoma"/>
            <family val="2"/>
          </rPr>
          <t xml:space="preserve">Đã bao gồm PC Bằng
</t>
        </r>
      </text>
    </comment>
  </commentList>
</comments>
</file>

<file path=xl/sharedStrings.xml><?xml version="1.0" encoding="utf-8"?>
<sst xmlns="http://schemas.openxmlformats.org/spreadsheetml/2006/main" count="1138" uniqueCount="585">
  <si>
    <t>CÔNG TY CỔ PHẦN ASTA HEALTHCARE USA</t>
  </si>
  <si>
    <t xml:space="preserve">Lô D1, D2, D6, D7 và D8 tại Khu công nghiệp Hoà Hiệp 1, </t>
  </si>
  <si>
    <t>Phường Hòa Hiệp Bắc, Thị xã Đông Hoà, Tỉnh Phú Yên, Việt Nam</t>
  </si>
  <si>
    <t>MST: 4401062392</t>
  </si>
  <si>
    <t xml:space="preserve">BẢNG LƯƠNG </t>
  </si>
  <si>
    <t>Đơn vị tính: Việt Nam Đồng</t>
  </si>
  <si>
    <t>STT</t>
  </si>
  <si>
    <t>Họ và tên</t>
  </si>
  <si>
    <t>Chức vụ</t>
  </si>
  <si>
    <t>Phân loại</t>
  </si>
  <si>
    <t>Ngày công 
 tháng chuẩn</t>
  </si>
  <si>
    <t>Lương cơ bản</t>
  </si>
  <si>
    <t>Lương đóng  BHXH</t>
  </si>
  <si>
    <t>Các khoản trợ cấp</t>
  </si>
  <si>
    <t>Tổng trợ cấp</t>
  </si>
  <si>
    <t>Thưởng hiệu quả công việc (KPI)</t>
  </si>
  <si>
    <t>Ngày công
 thực tế</t>
  </si>
  <si>
    <t>Tổng thu nhập</t>
  </si>
  <si>
    <t>Tổng các khoản miễn thuế TNCN</t>
  </si>
  <si>
    <t>Thu nhập
 chịu thuế</t>
  </si>
  <si>
    <t>Các khoản giảm trừ TNCN</t>
  </si>
  <si>
    <t>Thu nhập 
tính thuế</t>
  </si>
  <si>
    <t>Thuế TNCN</t>
  </si>
  <si>
    <t>Trích 
ĐPCĐ
(1%)</t>
  </si>
  <si>
    <t>Thực lãnh</t>
  </si>
  <si>
    <t>Tạm ứng đợt 1</t>
  </si>
  <si>
    <t>Còn phải thanh toán</t>
  </si>
  <si>
    <t>Ký nhận</t>
  </si>
  <si>
    <t>Cá nhân đã khấu trừ thuế</t>
  </si>
  <si>
    <t>STK</t>
  </si>
  <si>
    <t>Trang phục</t>
  </si>
  <si>
    <t>Điện thoại</t>
  </si>
  <si>
    <t>Xăng xe</t>
  </si>
  <si>
    <t>Ăn trưa</t>
  </si>
  <si>
    <t>Phụ cấp chuyên cần</t>
  </si>
  <si>
    <t>Phụ cấp ăn ca</t>
  </si>
  <si>
    <t>Phụ cấp chức vụ</t>
  </si>
  <si>
    <t xml:space="preserve">Bản thân </t>
  </si>
  <si>
    <t>Số NPT</t>
  </si>
  <si>
    <t>Người phụ 
thuộc</t>
  </si>
  <si>
    <t>BHXH</t>
  </si>
  <si>
    <t>BAN GIÁM ĐỐC</t>
  </si>
  <si>
    <t>Trần Phúc Yên</t>
  </si>
  <si>
    <t>PHÓ TGĐ
PT SX</t>
  </si>
  <si>
    <t>HĐ 3 năm</t>
  </si>
  <si>
    <t>0914180710 - MB Bank PY</t>
  </si>
  <si>
    <t>Lê Văn Hiến</t>
  </si>
  <si>
    <t>GĐDA</t>
  </si>
  <si>
    <t>8686813579 - MB Bank PY</t>
  </si>
  <si>
    <t>VĂN PHÒNG</t>
  </si>
  <si>
    <t>Đinh Thị Kim Loan</t>
  </si>
  <si>
    <t>HR&amp;GA</t>
  </si>
  <si>
    <t>0976590640 - MB Bank PY</t>
  </si>
  <si>
    <t>Ngô Thị Huyền Trâm</t>
  </si>
  <si>
    <t>0379043399 - MB Bank PY</t>
  </si>
  <si>
    <t>Nguyễn Thị Kiều</t>
  </si>
  <si>
    <t>0976459200 - MB Bank PY</t>
  </si>
  <si>
    <t>HĐ 1 năm</t>
  </si>
  <si>
    <t>Dương Thị Thanh Diễm</t>
  </si>
  <si>
    <t>0352499101 - MB Bank PY</t>
  </si>
  <si>
    <t>Lê Thị Phương Yên</t>
  </si>
  <si>
    <t>8500104247007 - MB Bank PY</t>
  </si>
  <si>
    <t>Nguyễn Thị Ái Sương</t>
  </si>
  <si>
    <t>0338423771 - MB Bank PY</t>
  </si>
  <si>
    <t>Phan Tiên Luân</t>
  </si>
  <si>
    <t>0344972670 - MB Bank PY</t>
  </si>
  <si>
    <t>Ngô Nguyễn Thu Hiền</t>
  </si>
  <si>
    <t>TP. ĐKT</t>
  </si>
  <si>
    <t>0908585484 - MB Bank HCM</t>
  </si>
  <si>
    <t>Hoàng Mai Anh</t>
  </si>
  <si>
    <t>ĐKT</t>
  </si>
  <si>
    <t>2875799667224 - MB Bank HCM</t>
  </si>
  <si>
    <t>Trần Ngọc Quỳnh Mai</t>
  </si>
  <si>
    <t>0948819796 - MB Bank PY</t>
  </si>
  <si>
    <t>Lê Khánh Vân</t>
  </si>
  <si>
    <t>P. Cung ứng</t>
  </si>
  <si>
    <t>0779254427 - MB Bank PY</t>
  </si>
  <si>
    <t>NHÀ MÁY</t>
  </si>
  <si>
    <t>Huỳnh Thị Việt Hà</t>
  </si>
  <si>
    <t>TP. QC</t>
  </si>
  <si>
    <t>0986953837 - MB Bank PY</t>
  </si>
  <si>
    <t>Nguyễn Thị Mỹ Linh</t>
  </si>
  <si>
    <t>PP. QC</t>
  </si>
  <si>
    <t>0973828564 - MB Bank PY</t>
  </si>
  <si>
    <t>Phạm Ngọc Linh</t>
  </si>
  <si>
    <t>0327676258 - MB Bank PY</t>
  </si>
  <si>
    <t>Đặng Thị Duyên</t>
  </si>
  <si>
    <t>QC</t>
  </si>
  <si>
    <t>0942945360 - MB Bank PY</t>
  </si>
  <si>
    <t>Nguyễn Thành Huy</t>
  </si>
  <si>
    <t>0972666907 - MB Bank PY</t>
  </si>
  <si>
    <t>Tạ Thị Hồng Diễm</t>
  </si>
  <si>
    <t>0978144910 - MB Bank PY</t>
  </si>
  <si>
    <t>Phan Thành Công</t>
  </si>
  <si>
    <t>0354010609 - MB Bank PY</t>
  </si>
  <si>
    <t>Trần Văn Thiện</t>
  </si>
  <si>
    <t>8919031997 - MB Bank PY</t>
  </si>
  <si>
    <t>Phạm Nguyễn Thu Trang</t>
  </si>
  <si>
    <t>0392740558 - MB Bank PY</t>
  </si>
  <si>
    <t>Nguyễn Thị Ngọc Lam</t>
  </si>
  <si>
    <t>0394864407 - MB Bank PY</t>
  </si>
  <si>
    <t>Đỗ Văn Tiếp</t>
  </si>
  <si>
    <t>0368117190 - MB Bank PY</t>
  </si>
  <si>
    <t>Nguyễn Thị Thùy Duyên</t>
  </si>
  <si>
    <t>0383180192 - MB Bank PY</t>
  </si>
  <si>
    <t>Trần Đình Bảo</t>
  </si>
  <si>
    <t>0365145333 - MB Bank PY</t>
  </si>
  <si>
    <t>Lê Thị Phấn</t>
  </si>
  <si>
    <t>0395052610 - MB Bank PY</t>
  </si>
  <si>
    <t>Nguyễn Ngọc Hưng</t>
  </si>
  <si>
    <t>0353964988 - MB Bank PY</t>
  </si>
  <si>
    <t>Nguyễn Thị Thanh Nhật</t>
  </si>
  <si>
    <t>696803640 - MB Bank PY</t>
  </si>
  <si>
    <t>Bùi Thị Mỹ Linh</t>
  </si>
  <si>
    <t>0967570989 - MB Bank PY</t>
  </si>
  <si>
    <t>Đinh Hoàng Vũ</t>
  </si>
  <si>
    <t>0332770331 - MB Bank PY</t>
  </si>
  <si>
    <t>Nguyễn Thị Kim Lượng</t>
  </si>
  <si>
    <t>0359609811 - MB Bank PY</t>
  </si>
  <si>
    <t>Nguyễn Thị Cẩm Tú</t>
  </si>
  <si>
    <t>0346361381 - MB Bank PY</t>
  </si>
  <si>
    <t>Ngô Trương Minh Hải</t>
  </si>
  <si>
    <t>0030396620043 - MB Bank PY</t>
  </si>
  <si>
    <t>Đỗ Hoàng Đức Tiến</t>
  </si>
  <si>
    <t>8500101118888 - MB Bank PY</t>
  </si>
  <si>
    <t>Tô Văn Trung</t>
  </si>
  <si>
    <t>TP. QA</t>
  </si>
  <si>
    <t>0983780411 - MB Bank PY</t>
  </si>
  <si>
    <t>QA</t>
  </si>
  <si>
    <t>Nguyễn Tấn Chí</t>
  </si>
  <si>
    <t>0396501192 - MB Bank PY</t>
  </si>
  <si>
    <t>Triệu Thị Thanh Ngọc</t>
  </si>
  <si>
    <t>085442626 - MB Bank PY</t>
  </si>
  <si>
    <t>Trần Thị Kim Ý</t>
  </si>
  <si>
    <t>0918751528 - MB Bank PY</t>
  </si>
  <si>
    <t>Võ Thị Y Nguyên</t>
  </si>
  <si>
    <t>0392588253 - MB Bank PY</t>
  </si>
  <si>
    <t>Nguyễn Phạm Hồng Sang</t>
  </si>
  <si>
    <t>0901694467 - MB Bank PY</t>
  </si>
  <si>
    <t>Nguyễn Văn Anh</t>
  </si>
  <si>
    <t>0839133337 - MB Bank PY</t>
  </si>
  <si>
    <t>Hồ Quang Hùng</t>
  </si>
  <si>
    <t>6757767167 - MB Bank PY</t>
  </si>
  <si>
    <t>Lê Quang Vinh</t>
  </si>
  <si>
    <t>0914231266 - MB Bank PY</t>
  </si>
  <si>
    <t>Nguyễn Tư Nghiêm</t>
  </si>
  <si>
    <t>0935707406 - MB Bank PY</t>
  </si>
  <si>
    <t>Nguyễn Hữu An</t>
  </si>
  <si>
    <t>0935747266 - MB Bank PY</t>
  </si>
  <si>
    <t>Nguyễn Thành Đạt</t>
  </si>
  <si>
    <t>0399484912 - MB Bank PY</t>
  </si>
  <si>
    <t>Nguyễn Thị Hằng</t>
  </si>
  <si>
    <t>3785099780637 - MB Bank PY</t>
  </si>
  <si>
    <t>Bùi Ngọc Sang</t>
  </si>
  <si>
    <t>0766715111128 - MB Bank PY</t>
  </si>
  <si>
    <t>Nguyễn Đức Huy</t>
  </si>
  <si>
    <t>0896635247 - MB Bank PY</t>
  </si>
  <si>
    <t>Nguyễn Trọng Tín</t>
  </si>
  <si>
    <t>0372446053 - MB Bank PY</t>
  </si>
  <si>
    <t>Đặng Văn Tín</t>
  </si>
  <si>
    <t>0904926184 - MB Bank PY</t>
  </si>
  <si>
    <t>Trần Đình Thuận</t>
  </si>
  <si>
    <t>0976584939 - MB Bank PY</t>
  </si>
  <si>
    <t>Trà Thị Ái Lam</t>
  </si>
  <si>
    <t>0941216784 - MB Bank</t>
  </si>
  <si>
    <t>Đào Thị Lý</t>
  </si>
  <si>
    <t>0772428269 - MB Bank PY</t>
  </si>
  <si>
    <t>Nguyễn Thị Đào</t>
  </si>
  <si>
    <t>3915619700401  - MB Bank PY</t>
  </si>
  <si>
    <t>Nguyễn Thị Diễm My</t>
  </si>
  <si>
    <t>0362438727 - MB Bank PY</t>
  </si>
  <si>
    <t>Nguyễn Kim Huy</t>
  </si>
  <si>
    <t>0333999426 - MB Bank PY</t>
  </si>
  <si>
    <t>Phạm Nhật Phàm</t>
  </si>
  <si>
    <t>0787797643 - MB Bank PY</t>
  </si>
  <si>
    <t>Bùi Thúc Hoài</t>
  </si>
  <si>
    <t>0865562549 - MB Bank PY</t>
  </si>
  <si>
    <t>Bùi Minh Dương</t>
  </si>
  <si>
    <t>0346753972 - MB Bank PY</t>
  </si>
  <si>
    <t>Lương Nguyễn Hoàng</t>
  </si>
  <si>
    <t>TP. QLSX</t>
  </si>
  <si>
    <t>0935573133 - MB Bank PY</t>
  </si>
  <si>
    <t>Trần Long Cơ</t>
  </si>
  <si>
    <t>QLSX</t>
  </si>
  <si>
    <t>0346761091 - MB Bank PY</t>
  </si>
  <si>
    <t>Đặng Thị Thùy Linh</t>
  </si>
  <si>
    <t>0110628102000 - MB Bank PY</t>
  </si>
  <si>
    <t>Mai Thị Mỵ</t>
  </si>
  <si>
    <t>0369977778 - MB Bank PY</t>
  </si>
  <si>
    <t>Dương Chi Hoài Lê</t>
  </si>
  <si>
    <t>R&amp;D</t>
  </si>
  <si>
    <t>0375545548 - MB Bank PY</t>
  </si>
  <si>
    <t>Nguyễn Duy Hiếu</t>
  </si>
  <si>
    <t>0935396568 - MB bank</t>
  </si>
  <si>
    <t>Huỳnh Tấn Đoan</t>
  </si>
  <si>
    <t>0382107824 - MB Bank PY</t>
  </si>
  <si>
    <t>Phan Đăng Việt</t>
  </si>
  <si>
    <t>0906688058 - MB Bank PY</t>
  </si>
  <si>
    <t>Phan Xuân Tuyển</t>
  </si>
  <si>
    <t>CƠ ĐIỆN</t>
  </si>
  <si>
    <t>0905254884 - MB Bank PY</t>
  </si>
  <si>
    <t>Ngô Kỳ Viên</t>
  </si>
  <si>
    <t>00359057571 - MB Bank PY</t>
  </si>
  <si>
    <t>Lê Vũ</t>
  </si>
  <si>
    <t>0919782545 - MB Bank PY</t>
  </si>
  <si>
    <t>Mang Cao Tùng</t>
  </si>
  <si>
    <t>0984905495 - MB Bank PY</t>
  </si>
  <si>
    <t>Võ Văn Hoàng</t>
  </si>
  <si>
    <t>9990374615946 - MB Bank PY</t>
  </si>
  <si>
    <t>Nguyễn Hoài Nam</t>
  </si>
  <si>
    <t>0353137397 - MB Bank PY</t>
  </si>
  <si>
    <t>Lê Hoài Tâm</t>
  </si>
  <si>
    <t>0384030039 - MB Bank PY</t>
  </si>
  <si>
    <t>Nguyễn Viết Thành</t>
  </si>
  <si>
    <t>91535792468 - MB Bank PY</t>
  </si>
  <si>
    <t>Nguyễn Bảo Toàn</t>
  </si>
  <si>
    <t>0976252579 - MB Bank PY</t>
  </si>
  <si>
    <t>Nguyễn Huệ</t>
  </si>
  <si>
    <t>0001233773350 - MB Bank PY</t>
  </si>
  <si>
    <t>Trương Anh Hiếu</t>
  </si>
  <si>
    <t>0941545332 - MB Bank PY</t>
  </si>
  <si>
    <t>Nguyễn Đồng Nguyên Thụ</t>
  </si>
  <si>
    <t>516666678 - MB Bank PY</t>
  </si>
  <si>
    <t>Trần Ngọc Minh</t>
  </si>
  <si>
    <t>68200219926868 - MB Bank PY</t>
  </si>
  <si>
    <t>Phan Bảo Toàn</t>
  </si>
  <si>
    <t>0378341906 - MB Bank PY</t>
  </si>
  <si>
    <t>Nguyễn Trọng Hữu</t>
  </si>
  <si>
    <t>0352953501 - MB Bank PY</t>
  </si>
  <si>
    <t>Huỳnh Hoàng Vũ</t>
  </si>
  <si>
    <t>9300879772979 - MB Bank PY</t>
  </si>
  <si>
    <t>Nguyễn Thanh Quan</t>
  </si>
  <si>
    <t>0963206341 - MB Bank PY</t>
  </si>
  <si>
    <t>Nguyễn Huy Vương</t>
  </si>
  <si>
    <t>Lâm Duy Khang</t>
  </si>
  <si>
    <t>0932412995 - MB Bank PY</t>
  </si>
  <si>
    <t>Trịnh Đình Vinh</t>
  </si>
  <si>
    <t>111687893979 - MB Bank PY</t>
  </si>
  <si>
    <t>HĐ DỊCH VỤ</t>
  </si>
  <si>
    <t>Lê Văn Thiên</t>
  </si>
  <si>
    <t>BQLDA</t>
  </si>
  <si>
    <t>8880860888 - MB Bank PY</t>
  </si>
  <si>
    <t>Nguyễn Thị Mỹ Khang</t>
  </si>
  <si>
    <t>040007132990 - NH Sacombank</t>
  </si>
  <si>
    <t>Đào Lý Trân</t>
  </si>
  <si>
    <t>IT</t>
  </si>
  <si>
    <t>0978019668 - MB Bank PY</t>
  </si>
  <si>
    <t>Trương Đình Tuấn</t>
  </si>
  <si>
    <t>0339946579 - MB Bank PY</t>
  </si>
  <si>
    <t>VỆ SINH</t>
  </si>
  <si>
    <t>TỔNG:</t>
  </si>
  <si>
    <t>Giám đốc</t>
  </si>
  <si>
    <t>Kế toán trưởng</t>
  </si>
  <si>
    <t>Người lập biểu</t>
  </si>
  <si>
    <t>(Ký, họ tên)</t>
  </si>
  <si>
    <t>X.NON BETA</t>
  </si>
  <si>
    <t>Nguyễn Thị Cẩm Tuyên</t>
  </si>
  <si>
    <t>Lê Thị Hóa</t>
  </si>
  <si>
    <t>Phan Thanh Hà</t>
  </si>
  <si>
    <t>Trần Thị Phương Loan</t>
  </si>
  <si>
    <t>Bổ sung khác 
(Bù tiền lương T01)</t>
  </si>
  <si>
    <t>KẾ TOÁN</t>
  </si>
  <si>
    <t>Đông Hòa, ngày 30 tháng 01 năm 2024</t>
  </si>
  <si>
    <t>BẢNG KÊ ĐÓNG BHXH VÀ CHI PHÍ CÔNG TY</t>
  </si>
  <si>
    <t>Lương đóng 
BHXH</t>
  </si>
  <si>
    <t xml:space="preserve"> Nhân viên đóng</t>
  </si>
  <si>
    <t xml:space="preserve"> Công ty đóng</t>
  </si>
  <si>
    <t>BHXH 8%</t>
  </si>
  <si>
    <t>BHYT 1.5%</t>
  </si>
  <si>
    <t>BHTN 1%</t>
  </si>
  <si>
    <t>Tổng</t>
  </si>
  <si>
    <t>BHXH 17.5%</t>
  </si>
  <si>
    <t>BHYT 3%</t>
  </si>
  <si>
    <t>Phó TGĐ PTSX</t>
  </si>
  <si>
    <t>TP QC</t>
  </si>
  <si>
    <t>Phó TP QC</t>
  </si>
  <si>
    <t>TP QA</t>
  </si>
  <si>
    <t>Cơ điện</t>
  </si>
  <si>
    <t xml:space="preserve">             Kế toán trưởng</t>
  </si>
  <si>
    <t xml:space="preserve">         (Ký, họ tên)</t>
  </si>
  <si>
    <t>Đặng Văn Nhàng</t>
  </si>
  <si>
    <t>Nguyễn Lê Vũ</t>
  </si>
  <si>
    <t>Trình Thị Phương Lan</t>
  </si>
  <si>
    <t>Liên 2</t>
  </si>
  <si>
    <t>Địa chỉ: Lô D1, D2, D6, D7 và D8 KCN Hòa Hiệp 1, P. Hòa Hiệp Bắc, Tx. Đông Hòa, T. Phú Yên</t>
  </si>
  <si>
    <t>Mã Nhân Viên</t>
  </si>
  <si>
    <t>Lương đóng BHBB</t>
  </si>
  <si>
    <t>Họ Và Tên</t>
  </si>
  <si>
    <t>Ngày công đi làm</t>
  </si>
  <si>
    <t>Chức Danh</t>
  </si>
  <si>
    <t>Ngày công chuẩn</t>
  </si>
  <si>
    <t>Các Khoản Thu Nhập</t>
  </si>
  <si>
    <t>Các Khoản Trừ Vào Lương</t>
  </si>
  <si>
    <t>Lương Cơ Bản</t>
  </si>
  <si>
    <t>Bảo Hiểm Bắt Buộc</t>
  </si>
  <si>
    <t>Tổng Trợ Cấp</t>
  </si>
  <si>
    <t>Bảo Hiểm Xã Hội (8%)</t>
  </si>
  <si>
    <t>Bảo Hiểm Y Tế (1,5%)</t>
  </si>
  <si>
    <t>Bảo Hiểm Thất Nghiệp (1%)</t>
  </si>
  <si>
    <t>Xăng Xe</t>
  </si>
  <si>
    <t>Thuế Thu Nhập Cá Nhân</t>
  </si>
  <si>
    <t>Ăn ca</t>
  </si>
  <si>
    <t>Tạm ứng</t>
  </si>
  <si>
    <t>Kinh Phí Công Đoàn</t>
  </si>
  <si>
    <t>KPI</t>
  </si>
  <si>
    <t>Phụ cấp bằng</t>
  </si>
  <si>
    <t>Tổng Cộng</t>
  </si>
  <si>
    <t>Tổng Số Tiền Lương Thực Nhận (1)</t>
  </si>
  <si>
    <t>Số tiền Lương thanh toán đợt 1 (2)</t>
  </si>
  <si>
    <t>Bằng chữ:</t>
  </si>
  <si>
    <t>Số tiền Lương còn phải thanh toán (3)=(1)-(2)</t>
  </si>
  <si>
    <t>Người lập phiếu</t>
  </si>
  <si>
    <t>Người nhận tiền</t>
  </si>
  <si>
    <t>(Ký và ghi rõ họ tên)</t>
  </si>
  <si>
    <t>Liên 1</t>
  </si>
  <si>
    <t>Kinh Phí Công Đoàn (1%)</t>
  </si>
  <si>
    <t>Công Ty Cổ Phần Asta Healthcare USA</t>
  </si>
  <si>
    <t>PC Chức vụ</t>
  </si>
  <si>
    <t>0358945715 - MB Bank PY</t>
  </si>
  <si>
    <t>7714041992 - MB Bank PY</t>
  </si>
  <si>
    <t>0362313560 - MB Bank PY</t>
  </si>
  <si>
    <t>0906688057 - MB Bank PY</t>
  </si>
  <si>
    <t>0975818363 - MB Bank PY</t>
  </si>
  <si>
    <t>100003845051 - NH Vietinbank PY</t>
  </si>
  <si>
    <t>99383567799 - Standard Chartered</t>
  </si>
  <si>
    <t>Trần Thị Hiền Mai</t>
  </si>
  <si>
    <t>0977710245 - MB Bank PY</t>
  </si>
  <si>
    <t>Lê Thanh Dương</t>
  </si>
  <si>
    <t>7710101998 - MB Bank PY</t>
  </si>
  <si>
    <t>Nguyễn Hữu Trí</t>
  </si>
  <si>
    <t>0103087443 - Đông Á Bank</t>
  </si>
  <si>
    <t>Trần Hoài Như Ý</t>
  </si>
  <si>
    <t>Truy thu thuế năm 2023</t>
  </si>
  <si>
    <t xml:space="preserve">Xăng Xe </t>
  </si>
  <si>
    <t>9880070088886 - MB Bank</t>
  </si>
  <si>
    <t>990961746913 - MB Bank</t>
  </si>
  <si>
    <t>Đặng Ngọc Thiện</t>
  </si>
  <si>
    <t>Đoàn Kim Trọng</t>
  </si>
  <si>
    <t>0260126030326 - MB  Bank</t>
  </si>
  <si>
    <t>0396563450 - MB Bank</t>
  </si>
  <si>
    <t>Trần Hà Cẩm Lai</t>
  </si>
  <si>
    <t>0000119041999 - MB Bank</t>
  </si>
  <si>
    <t>CỐ VẤN</t>
  </si>
  <si>
    <t>X. THUỐC DL</t>
  </si>
  <si>
    <t>QĐ. 
X. THUỐC DL</t>
  </si>
  <si>
    <t>X. NON BETA</t>
  </si>
  <si>
    <t>TP-P.Cơ điện</t>
  </si>
  <si>
    <t>PP-P.R&amp;D</t>
  </si>
  <si>
    <t>Phó TP-P.R&amp;D</t>
  </si>
  <si>
    <t>TP. CƠ ĐIỆN</t>
  </si>
  <si>
    <t>Phan Thanh Duy</t>
  </si>
  <si>
    <t>0762735888 - MB Bank PY</t>
  </si>
  <si>
    <t>Lương Văn Thạch</t>
  </si>
  <si>
    <t>0812018449 - MB Bank PY</t>
  </si>
  <si>
    <t>Nguyễn Thị Nhật Lệ</t>
  </si>
  <si>
    <t>2010128901555 - MB Bank PY</t>
  </si>
  <si>
    <t>Nguyễn Thị Thu Thảo</t>
  </si>
  <si>
    <t>Lương Thị Tố Như</t>
  </si>
  <si>
    <t>0702377870 - MB Bank PY</t>
  </si>
  <si>
    <t>Trần Thị Minh Thuyết</t>
  </si>
  <si>
    <t>0986651738 - MB Bank PY</t>
  </si>
  <si>
    <t>Nguyễn Thị Hằng Nga</t>
  </si>
  <si>
    <t>Đặng Trần Anh Khoa</t>
  </si>
  <si>
    <t>0911558054 - MB Bank PY</t>
  </si>
  <si>
    <t>0345852865 - MB Bank PY</t>
  </si>
  <si>
    <t>Phạm Văn Trí</t>
  </si>
  <si>
    <t>0974172193 - MB Bank PY</t>
  </si>
  <si>
    <t>Trần Thị Nguyệt Thu</t>
  </si>
  <si>
    <t>0369888429 - MB Bank PY</t>
  </si>
  <si>
    <t>Nguyễn Thị In</t>
  </si>
  <si>
    <t>Văn Thị Hường</t>
  </si>
  <si>
    <t>Đặng Thị Thảo Phương</t>
  </si>
  <si>
    <t>Ngô Thị Phượng</t>
  </si>
  <si>
    <t>Trần Nguyễn Hoa Thư</t>
  </si>
  <si>
    <t>Đặng Thị Hiền Diệu</t>
  </si>
  <si>
    <t>Trần Đỗ Hùng Vĩ</t>
  </si>
  <si>
    <t>Vương Văn Thiện</t>
  </si>
  <si>
    <t>Trần Đoàn Quốc Hưng</t>
  </si>
  <si>
    <t>Bùi Hữu Tài</t>
  </si>
  <si>
    <t>Phạm Tấn Thi</t>
  </si>
  <si>
    <t>Phạm Kim Hân</t>
  </si>
  <si>
    <t>Phạm Thị Diệu Trâm</t>
  </si>
  <si>
    <t>108868447997 - NH Vietinbank</t>
  </si>
  <si>
    <t>9328028370 - Vietcombank</t>
  </si>
  <si>
    <t>0281000269955 - Vietcombank</t>
  </si>
  <si>
    <t>0353701343 - MB Bank PY</t>
  </si>
  <si>
    <t>83898988888 - MB Bank PY</t>
  </si>
  <si>
    <t>0000806297392 - MB Bank PY</t>
  </si>
  <si>
    <t>0336660339 - MB Bank</t>
  </si>
  <si>
    <t>9800115301147 - MB Bank PY</t>
  </si>
  <si>
    <t xml:space="preserve"> 0336051959 - MB Bank PY</t>
  </si>
  <si>
    <t>0356148076 - MB Bank PY</t>
  </si>
  <si>
    <t>Đông Hòa, ngày 31 tháng 07 năm 2024</t>
  </si>
  <si>
    <t>Nguyễn Thị Ly</t>
  </si>
  <si>
    <t>Mai Quốc Thái</t>
  </si>
  <si>
    <t>GĐ PTTT</t>
  </si>
  <si>
    <t>Phạm Đăng Phương Thảo</t>
  </si>
  <si>
    <t>KINH DOANH</t>
  </si>
  <si>
    <t>Trần Phụ Hoa</t>
  </si>
  <si>
    <t>BẢO VỆ</t>
  </si>
  <si>
    <t>Nguyễn Thị Phương Nhi</t>
  </si>
  <si>
    <t>Lương Nhật Vinh</t>
  </si>
  <si>
    <t>Bùi Thanh Thương</t>
  </si>
  <si>
    <t>Lê Thanh Tịnh</t>
  </si>
  <si>
    <t>Nguyễn Hoàng Hiếu</t>
  </si>
  <si>
    <t>Phan Thanh Liêm</t>
  </si>
  <si>
    <t>Trần Văn Phúc</t>
  </si>
  <si>
    <t>Trần Hoàng Nhật</t>
  </si>
  <si>
    <t>Tháng 07 Năm 2024</t>
  </si>
  <si>
    <t xml:space="preserve">0962336877 - Vietinbank </t>
  </si>
  <si>
    <t>0981626503 - MB Bank</t>
  </si>
  <si>
    <t xml:space="preserve">108878491588 - Vietinbank </t>
  </si>
  <si>
    <t>0353880069 - MB Bank</t>
  </si>
  <si>
    <t>QĐ
X. NON BETA</t>
  </si>
  <si>
    <t>59010000613010 - BIDV</t>
  </si>
  <si>
    <t>0961487043 - MB Bank</t>
  </si>
  <si>
    <t>0913445699 - MB Bank</t>
  </si>
  <si>
    <t>0906715854 - MB Bank</t>
  </si>
  <si>
    <t>0914859766 - MB bank</t>
  </si>
  <si>
    <t>0777470143 - MB Bank</t>
  </si>
  <si>
    <t>9224080402 - MB Bank</t>
  </si>
  <si>
    <t>0392216472 - MB bank</t>
  </si>
  <si>
    <t>GĐPTTT</t>
  </si>
  <si>
    <t>NLĐ đóng ĐPCĐ
1%</t>
  </si>
  <si>
    <t>CTY đóng KPCĐ
2%</t>
  </si>
  <si>
    <t>CB Hưu trí</t>
  </si>
  <si>
    <t>0914553880  - MB Bank PY</t>
  </si>
  <si>
    <t>0377954902 - MB Bank</t>
  </si>
  <si>
    <t>0385081739 - MB Bank</t>
  </si>
  <si>
    <t>0327910559 - MB bank</t>
  </si>
  <si>
    <t>Cộng</t>
  </si>
  <si>
    <t>Tháng 08 Năm 2024 (công tính từ ngày 26/07-25/08/24)</t>
  </si>
  <si>
    <t>Đông Hòa, ngày 30 tháng 08 năm 2024</t>
  </si>
  <si>
    <t>Bổ sung khác 
(Bù tiền lương T07)</t>
  </si>
  <si>
    <t>Nguyễn Hoàng Nhựt</t>
  </si>
  <si>
    <t>Phạm Thị Thanh Mai</t>
  </si>
  <si>
    <t>Phan Nguyễn Tú Vân</t>
  </si>
  <si>
    <t>Lê Võ Cẩm Hoa</t>
  </si>
  <si>
    <t>Trần Thị Quỳnh Như</t>
  </si>
  <si>
    <t>Trần Minh Thiện</t>
  </si>
  <si>
    <t>Nguyễn Thị Thanh</t>
  </si>
  <si>
    <t>Trần Thị Thanh Thúy</t>
  </si>
  <si>
    <t>Nguyễn Minh Hiếu</t>
  </si>
  <si>
    <t>0886891062 - MB bank</t>
  </si>
  <si>
    <t>0385802686 - MB Bank PY</t>
  </si>
  <si>
    <t>0833238019 - MB Bank PY</t>
  </si>
  <si>
    <t>0365034539 - MB Bank PY</t>
  </si>
  <si>
    <t>Dương Việt Thành</t>
  </si>
  <si>
    <t>PTTT</t>
  </si>
  <si>
    <t>0336456267 - MB Bank PY</t>
  </si>
  <si>
    <t>0372292004 - MB Bank PY</t>
  </si>
  <si>
    <t>04266783301 - NH Tiên Phong</t>
  </si>
  <si>
    <t>0939017111 - Vietin bank</t>
  </si>
  <si>
    <t>19072830234014 - Techcombank</t>
  </si>
  <si>
    <t>Tháng 08 Năm 2024 (công tính từ ngày 26/06-25/07/24)</t>
  </si>
  <si>
    <t>Nộp BHXH
08/2024</t>
  </si>
  <si>
    <t>Tổng CP công đoàn 08/2024</t>
  </si>
  <si>
    <t>1026465583 - NH Vietcombank</t>
  </si>
  <si>
    <t>HỌC VIỆC/THỬ VIỆC</t>
  </si>
  <si>
    <t>MANV</t>
  </si>
  <si>
    <t>TPY251276</t>
  </si>
  <si>
    <t>LVH141291</t>
  </si>
  <si>
    <t>DKL061287</t>
  </si>
  <si>
    <t>NTK161187</t>
  </si>
  <si>
    <t>LPY200596</t>
  </si>
  <si>
    <t>NAS010179</t>
  </si>
  <si>
    <t>PTL020384</t>
  </si>
  <si>
    <t>DNT260300</t>
  </si>
  <si>
    <t>NHT150893</t>
  </si>
  <si>
    <t xml:space="preserve"> DTD070993</t>
  </si>
  <si>
    <t>TCL190499</t>
  </si>
  <si>
    <t>DLT021192</t>
  </si>
  <si>
    <t>NTH170279</t>
  </si>
  <si>
    <t>HMA040286</t>
  </si>
  <si>
    <t>TNY110798</t>
  </si>
  <si>
    <t>TQM190796</t>
  </si>
  <si>
    <t>LKV170499</t>
  </si>
  <si>
    <t>PKH160498</t>
  </si>
  <si>
    <t>HVH110481</t>
  </si>
  <si>
    <t>NML070482</t>
  </si>
  <si>
    <t>PNL160186</t>
  </si>
  <si>
    <t>DTD091086</t>
  </si>
  <si>
    <t>NTH040988</t>
  </si>
  <si>
    <t>THD170387</t>
  </si>
  <si>
    <t>PTC020489</t>
  </si>
  <si>
    <t>TVT190397</t>
  </si>
  <si>
    <t>PTT170493</t>
  </si>
  <si>
    <t>NNL010294</t>
  </si>
  <si>
    <t>DVT051097</t>
  </si>
  <si>
    <t>NTD040997</t>
  </si>
  <si>
    <t>TDB110296</t>
  </si>
  <si>
    <t>LTP100799</t>
  </si>
  <si>
    <t>NNH151194</t>
  </si>
  <si>
    <t>NTN301293</t>
  </si>
  <si>
    <t>BML031097</t>
  </si>
  <si>
    <t>DHV240999</t>
  </si>
  <si>
    <t>NKL060297</t>
  </si>
  <si>
    <t>NCT040797</t>
  </si>
  <si>
    <t>NMH211101</t>
  </si>
  <si>
    <t>DDT110696</t>
  </si>
  <si>
    <t>LVT220200</t>
  </si>
  <si>
    <t>TVT041179</t>
  </si>
  <si>
    <t>NTC190897</t>
  </si>
  <si>
    <t>TTN120701</t>
  </si>
  <si>
    <t>TKY260192</t>
  </si>
  <si>
    <t>VYN151191</t>
  </si>
  <si>
    <t>NHS280890</t>
  </si>
  <si>
    <t>NVA040197</t>
  </si>
  <si>
    <t>HQH050896</t>
  </si>
  <si>
    <t>NCT050600</t>
  </si>
  <si>
    <t>LQV291275</t>
  </si>
  <si>
    <t>NTN300886</t>
  </si>
  <si>
    <t>NHA101099</t>
  </si>
  <si>
    <t>NTD120997</t>
  </si>
  <si>
    <t>NTH200794</t>
  </si>
  <si>
    <t>BNS151292</t>
  </si>
  <si>
    <t>NDH310393</t>
  </si>
  <si>
    <t>NTT201292</t>
  </si>
  <si>
    <t>DVT030789</t>
  </si>
  <si>
    <t>TDT240597</t>
  </si>
  <si>
    <t>TAL090992</t>
  </si>
  <si>
    <t>DTL161082</t>
  </si>
  <si>
    <t>NTD270201</t>
  </si>
  <si>
    <t>NDM010298</t>
  </si>
  <si>
    <t>NKH100497</t>
  </si>
  <si>
    <t>PNP241000</t>
  </si>
  <si>
    <t>BMD240997</t>
  </si>
  <si>
    <t>PTL100296</t>
  </si>
  <si>
    <t>TVP050599</t>
  </si>
  <si>
    <t>BHT260693</t>
  </si>
  <si>
    <t>BTH120200</t>
  </si>
  <si>
    <t>HHV050292</t>
  </si>
  <si>
    <t>NTQ200588</t>
  </si>
  <si>
    <t>TDT251293</t>
  </si>
  <si>
    <t>LNH250896</t>
  </si>
  <si>
    <t>LDK150795</t>
  </si>
  <si>
    <t>TLC120197</t>
  </si>
  <si>
    <t>DTL281000</t>
  </si>
  <si>
    <t>MTM280793</t>
  </si>
  <si>
    <t>TAH080691</t>
  </si>
  <si>
    <t>PTH081192</t>
  </si>
  <si>
    <t>TMT020890</t>
  </si>
  <si>
    <t>TPL140492</t>
  </si>
  <si>
    <t>NDH100693</t>
  </si>
  <si>
    <t>DHL120900</t>
  </si>
  <si>
    <t>HTD070798</t>
  </si>
  <si>
    <t>TDV010187</t>
  </si>
  <si>
    <t>LTD101098</t>
  </si>
  <si>
    <t>PDV060874</t>
  </si>
  <si>
    <t>PXT110682</t>
  </si>
  <si>
    <t>NKV011096</t>
  </si>
  <si>
    <t>LV090187</t>
  </si>
  <si>
    <t>MCT180294</t>
  </si>
  <si>
    <t>VVH020594</t>
  </si>
  <si>
    <t>NHN180497</t>
  </si>
  <si>
    <t>LHT270797</t>
  </si>
  <si>
    <t>NVT040979</t>
  </si>
  <si>
    <t>NBT180782</t>
  </si>
  <si>
    <t>NH040380</t>
  </si>
  <si>
    <t>NNT210895</t>
  </si>
  <si>
    <t>TNM200292</t>
  </si>
  <si>
    <t>PBT041096</t>
  </si>
  <si>
    <t>NTH220793</t>
  </si>
  <si>
    <t>NHT161289</t>
  </si>
  <si>
    <t>NHV080301</t>
  </si>
  <si>
    <t>DKT021196</t>
  </si>
  <si>
    <t>NHN020102</t>
  </si>
  <si>
    <t>NTL170196</t>
  </si>
  <si>
    <t>PDT081196</t>
  </si>
  <si>
    <t>THV080800</t>
  </si>
  <si>
    <t>VVT100802</t>
  </si>
  <si>
    <t>TQH270102</t>
  </si>
  <si>
    <t>THN300401</t>
  </si>
  <si>
    <t>LTN070498</t>
  </si>
  <si>
    <t>PTD160795</t>
  </si>
  <si>
    <t>NNL280999</t>
  </si>
  <si>
    <t>NTP130101</t>
  </si>
  <si>
    <t>DHD251099</t>
  </si>
  <si>
    <t>THT271001</t>
  </si>
  <si>
    <t>NTT290999</t>
  </si>
  <si>
    <t>DAK240601</t>
  </si>
  <si>
    <t>THM271095</t>
  </si>
  <si>
    <t>NPN121090</t>
  </si>
  <si>
    <t>NHN021082</t>
  </si>
  <si>
    <t>PVT120785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</si>
</sst>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_-* #,##0.00\ _€_-;\-* #,##0.00\ _€_-;_-* &quot;-&quot;??\ _€_-;_-@_-"/>
    <numFmt numFmtId="168" formatCode="_(* #,##0.0_);_(* \(#,##0.0\);_(* &quot;-&quot;??_);_(@_)"/>
    <numFmt numFmtId="169" formatCode="0.0%"/>
    <numFmt numFmtId="170" formatCode="#,##0.000000000"/>
    <numFmt numFmtId="171" formatCode="#,##0.00000000000"/>
    <numFmt numFmtId="172" formatCode="#,##0.0000000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i/>
      <sz val="11"/>
      <color theme="1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b/>
      <sz val="11"/>
      <name val="Times New Roman"/>
      <family val="1"/>
    </font>
    <font>
      <i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name val="Arial"/>
      <family val="2"/>
      <charset val="163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i/>
      <sz val="12"/>
      <color theme="1"/>
      <name val="Times New Roman"/>
      <family val="1"/>
    </font>
    <font>
      <b/>
      <i/>
      <sz val="10"/>
      <color theme="1"/>
      <name val="Times New Roman"/>
      <family val="1"/>
    </font>
    <font>
      <sz val="8"/>
      <color theme="1"/>
      <name val="Times New Roman"/>
      <family val="1"/>
    </font>
    <font>
      <sz val="11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9"/>
      <color indexed="8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/>
      <top style="double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 style="hair">
        <color rgb="FF000000"/>
      </top>
      <bottom style="double">
        <color rgb="FF000000"/>
      </bottom>
      <diagonal/>
    </border>
    <border>
      <left/>
      <right style="hair">
        <color rgb="FF000000"/>
      </right>
      <top style="hair">
        <color rgb="FF000000"/>
      </top>
      <bottom style="double">
        <color rgb="FF000000"/>
      </bottom>
      <diagonal/>
    </border>
    <border>
      <left style="hair">
        <color rgb="FF000000"/>
      </left>
      <right/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double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double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 style="hair">
        <color rgb="FF000000"/>
      </right>
      <top style="double">
        <color rgb="FF000000"/>
      </top>
      <bottom style="double">
        <color rgb="FF000000"/>
      </bottom>
      <diagonal/>
    </border>
    <border>
      <left style="hair">
        <color rgb="FF000000"/>
      </left>
      <right/>
      <top style="double">
        <color rgb="FF000000"/>
      </top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/>
      <top style="hair">
        <color rgb="FF000000"/>
      </top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/>
      <top/>
      <bottom style="double">
        <color rgb="FF000000"/>
      </bottom>
      <diagonal/>
    </border>
    <border>
      <left style="hair">
        <color indexed="64"/>
      </left>
      <right style="double">
        <color rgb="FF000000"/>
      </right>
      <top style="hair">
        <color indexed="64"/>
      </top>
      <bottom style="hair">
        <color indexed="64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hair">
        <color rgb="FF000000"/>
      </top>
      <bottom/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double">
        <color rgb="FF000000"/>
      </right>
      <top style="hair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18" fillId="0" borderId="0"/>
    <xf numFmtId="167" fontId="2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3" fontId="2" fillId="0" borderId="0" xfId="0" applyNumberFormat="1" applyFont="1"/>
    <xf numFmtId="0" fontId="5" fillId="0" borderId="0" xfId="0" applyFont="1"/>
    <xf numFmtId="166" fontId="2" fillId="0" borderId="0" xfId="1" applyNumberFormat="1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3" fillId="0" borderId="0" xfId="0" applyFont="1" applyAlignment="1">
      <alignment horizontal="center"/>
    </xf>
    <xf numFmtId="3" fontId="3" fillId="0" borderId="0" xfId="0" applyNumberFormat="1" applyFont="1"/>
    <xf numFmtId="0" fontId="12" fillId="0" borderId="0" xfId="0" applyFont="1"/>
    <xf numFmtId="0" fontId="13" fillId="3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5" borderId="3" xfId="0" applyFont="1" applyFill="1" applyBorder="1" applyAlignment="1">
      <alignment vertical="center"/>
    </xf>
    <xf numFmtId="164" fontId="3" fillId="5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4" fillId="0" borderId="1" xfId="2" applyNumberFormat="1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3" fontId="4" fillId="0" borderId="1" xfId="2" applyNumberFormat="1" applyFont="1" applyBorder="1" applyAlignment="1">
      <alignment horizontal="right" vertical="center"/>
    </xf>
    <xf numFmtId="164" fontId="4" fillId="0" borderId="1" xfId="1" applyNumberFormat="1" applyFont="1" applyFill="1" applyBorder="1" applyAlignment="1">
      <alignment horizontal="right" vertical="center"/>
    </xf>
    <xf numFmtId="166" fontId="2" fillId="0" borderId="1" xfId="1" applyNumberFormat="1" applyFont="1" applyFill="1" applyBorder="1" applyAlignment="1">
      <alignment horizontal="right" vertical="center"/>
    </xf>
    <xf numFmtId="166" fontId="4" fillId="0" borderId="1" xfId="1" applyNumberFormat="1" applyFont="1" applyFill="1" applyBorder="1" applyAlignment="1">
      <alignment horizontal="right" vertical="center"/>
    </xf>
    <xf numFmtId="164" fontId="2" fillId="0" borderId="1" xfId="0" applyNumberFormat="1" applyFont="1" applyBorder="1" applyAlignment="1">
      <alignment vertical="center"/>
    </xf>
    <xf numFmtId="166" fontId="4" fillId="0" borderId="1" xfId="1" applyNumberFormat="1" applyFont="1" applyFill="1" applyBorder="1" applyAlignment="1">
      <alignment vertical="center"/>
    </xf>
    <xf numFmtId="49" fontId="2" fillId="0" borderId="1" xfId="0" applyNumberFormat="1" applyFont="1" applyBorder="1"/>
    <xf numFmtId="0" fontId="19" fillId="5" borderId="6" xfId="0" applyFont="1" applyFill="1" applyBorder="1" applyAlignment="1">
      <alignment vertical="center"/>
    </xf>
    <xf numFmtId="0" fontId="20" fillId="5" borderId="6" xfId="0" applyFont="1" applyFill="1" applyBorder="1" applyAlignment="1">
      <alignment vertical="center"/>
    </xf>
    <xf numFmtId="0" fontId="20" fillId="5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164" fontId="3" fillId="5" borderId="1" xfId="0" applyNumberFormat="1" applyFont="1" applyFill="1" applyBorder="1" applyAlignment="1">
      <alignment vertical="center"/>
    </xf>
    <xf numFmtId="0" fontId="16" fillId="0" borderId="6" xfId="0" applyFont="1" applyBorder="1" applyAlignment="1">
      <alignment horizontal="center" vertical="center"/>
    </xf>
    <xf numFmtId="0" fontId="21" fillId="0" borderId="1" xfId="0" quotePrefix="1" applyFont="1" applyBorder="1" applyAlignment="1">
      <alignment horizontal="left" vertical="center"/>
    </xf>
    <xf numFmtId="49" fontId="2" fillId="0" borderId="1" xfId="0" quotePrefix="1" applyNumberFormat="1" applyFont="1" applyBorder="1"/>
    <xf numFmtId="0" fontId="16" fillId="5" borderId="6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21" fillId="0" borderId="1" xfId="0" quotePrefix="1" applyFont="1" applyBorder="1" applyAlignment="1">
      <alignment vertical="center"/>
    </xf>
    <xf numFmtId="165" fontId="4" fillId="0" borderId="1" xfId="1" applyFont="1" applyFill="1" applyBorder="1" applyAlignment="1">
      <alignment horizontal="right" vertical="center"/>
    </xf>
    <xf numFmtId="165" fontId="4" fillId="0" borderId="1" xfId="1" applyFont="1" applyFill="1" applyBorder="1" applyAlignment="1">
      <alignment vertical="center"/>
    </xf>
    <xf numFmtId="164" fontId="3" fillId="2" borderId="3" xfId="0" applyNumberFormat="1" applyFont="1" applyFill="1" applyBorder="1" applyAlignment="1">
      <alignment vertical="center"/>
    </xf>
    <xf numFmtId="164" fontId="11" fillId="2" borderId="4" xfId="0" applyNumberFormat="1" applyFont="1" applyFill="1" applyBorder="1" applyAlignment="1">
      <alignment vertical="center"/>
    </xf>
    <xf numFmtId="164" fontId="3" fillId="2" borderId="4" xfId="0" applyNumberFormat="1" applyFont="1" applyFill="1" applyBorder="1" applyAlignment="1">
      <alignment vertical="center"/>
    </xf>
    <xf numFmtId="164" fontId="3" fillId="2" borderId="6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vertical="center"/>
    </xf>
    <xf numFmtId="164" fontId="3" fillId="6" borderId="1" xfId="0" applyNumberFormat="1" applyFont="1" applyFill="1" applyBorder="1" applyAlignment="1">
      <alignment vertical="center"/>
    </xf>
    <xf numFmtId="164" fontId="3" fillId="7" borderId="1" xfId="0" applyNumberFormat="1" applyFont="1" applyFill="1" applyBorder="1" applyAlignment="1">
      <alignment vertical="center"/>
    </xf>
    <xf numFmtId="164" fontId="3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3" fillId="0" borderId="0" xfId="0" applyNumberFormat="1" applyFont="1"/>
    <xf numFmtId="3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0" fontId="21" fillId="0" borderId="0" xfId="0" applyFont="1"/>
    <xf numFmtId="0" fontId="22" fillId="0" borderId="0" xfId="0" applyFont="1"/>
    <xf numFmtId="3" fontId="21" fillId="0" borderId="0" xfId="0" applyNumberFormat="1" applyFont="1"/>
    <xf numFmtId="3" fontId="13" fillId="0" borderId="0" xfId="0" applyNumberFormat="1" applyFont="1"/>
    <xf numFmtId="164" fontId="21" fillId="0" borderId="0" xfId="0" applyNumberFormat="1" applyFont="1"/>
    <xf numFmtId="164" fontId="13" fillId="0" borderId="0" xfId="0" applyNumberFormat="1" applyFont="1"/>
    <xf numFmtId="3" fontId="24" fillId="0" borderId="0" xfId="3" applyNumberFormat="1" applyFont="1" applyFill="1" applyAlignment="1">
      <alignment horizontal="center" vertical="center"/>
    </xf>
    <xf numFmtId="3" fontId="24" fillId="0" borderId="0" xfId="3" applyNumberFormat="1" applyFont="1" applyFill="1" applyAlignment="1">
      <alignment vertical="center"/>
    </xf>
    <xf numFmtId="3" fontId="25" fillId="0" borderId="0" xfId="3" applyNumberFormat="1" applyFont="1" applyFill="1" applyAlignment="1">
      <alignment horizontal="center" vertical="center"/>
    </xf>
    <xf numFmtId="43" fontId="2" fillId="0" borderId="0" xfId="0" applyNumberFormat="1" applyFont="1"/>
    <xf numFmtId="168" fontId="2" fillId="0" borderId="0" xfId="1" applyNumberFormat="1" applyFont="1"/>
    <xf numFmtId="3" fontId="14" fillId="0" borderId="0" xfId="3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7" xfId="0" applyFont="1" applyBorder="1" applyAlignment="1">
      <alignment horizontal="center" vertical="center"/>
    </xf>
    <xf numFmtId="0" fontId="3" fillId="8" borderId="3" xfId="0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 wrapText="1"/>
    </xf>
    <xf numFmtId="165" fontId="2" fillId="0" borderId="0" xfId="1" applyFont="1"/>
    <xf numFmtId="169" fontId="3" fillId="8" borderId="5" xfId="4" applyNumberFormat="1" applyFont="1" applyFill="1" applyBorder="1" applyAlignment="1">
      <alignment horizontal="center" vertical="center" wrapText="1"/>
    </xf>
    <xf numFmtId="169" fontId="28" fillId="8" borderId="5" xfId="4" applyNumberFormat="1" applyFont="1" applyFill="1" applyBorder="1" applyAlignment="1">
      <alignment horizontal="center" vertical="center" wrapText="1"/>
    </xf>
    <xf numFmtId="169" fontId="3" fillId="8" borderId="5" xfId="4" applyNumberFormat="1" applyFont="1" applyFill="1" applyBorder="1" applyAlignment="1">
      <alignment horizontal="center" vertical="center"/>
    </xf>
    <xf numFmtId="170" fontId="2" fillId="0" borderId="0" xfId="0" applyNumberFormat="1" applyFont="1" applyAlignment="1">
      <alignment wrapText="1"/>
    </xf>
    <xf numFmtId="164" fontId="3" fillId="9" borderId="3" xfId="0" applyNumberFormat="1" applyFont="1" applyFill="1" applyBorder="1" applyAlignment="1">
      <alignment vertical="center"/>
    </xf>
    <xf numFmtId="164" fontId="3" fillId="9" borderId="6" xfId="0" applyNumberFormat="1" applyFont="1" applyFill="1" applyBorder="1" applyAlignment="1">
      <alignment vertical="center"/>
    </xf>
    <xf numFmtId="164" fontId="3" fillId="9" borderId="1" xfId="0" applyNumberFormat="1" applyFont="1" applyFill="1" applyBorder="1" applyAlignment="1">
      <alignment vertical="center"/>
    </xf>
    <xf numFmtId="164" fontId="29" fillId="9" borderId="1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3" fontId="2" fillId="0" borderId="0" xfId="0" applyNumberFormat="1" applyFont="1" applyAlignment="1">
      <alignment vertical="center"/>
    </xf>
    <xf numFmtId="171" fontId="2" fillId="0" borderId="0" xfId="0" applyNumberFormat="1" applyFont="1" applyAlignment="1">
      <alignment vertical="center"/>
    </xf>
    <xf numFmtId="166" fontId="2" fillId="0" borderId="0" xfId="1" applyNumberFormat="1" applyFont="1" applyAlignment="1">
      <alignment vertical="center"/>
    </xf>
    <xf numFmtId="165" fontId="2" fillId="0" borderId="0" xfId="1" applyFont="1" applyAlignment="1">
      <alignment vertical="center"/>
    </xf>
    <xf numFmtId="164" fontId="2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center" vertical="center" wrapText="1"/>
    </xf>
    <xf numFmtId="164" fontId="2" fillId="0" borderId="0" xfId="0" applyNumberFormat="1" applyFont="1" applyAlignment="1">
      <alignment vertical="center"/>
    </xf>
    <xf numFmtId="0" fontId="17" fillId="0" borderId="6" xfId="0" applyFont="1" applyBorder="1" applyAlignment="1">
      <alignment horizontal="center" vertical="center" wrapText="1"/>
    </xf>
    <xf numFmtId="164" fontId="29" fillId="9" borderId="3" xfId="0" applyNumberFormat="1" applyFont="1" applyFill="1" applyBorder="1" applyAlignment="1">
      <alignment vertical="center"/>
    </xf>
    <xf numFmtId="172" fontId="2" fillId="0" borderId="0" xfId="0" applyNumberFormat="1" applyFont="1" applyAlignment="1">
      <alignment vertical="center"/>
    </xf>
    <xf numFmtId="164" fontId="29" fillId="2" borderId="1" xfId="0" applyNumberFormat="1" applyFont="1" applyFill="1" applyBorder="1" applyAlignment="1">
      <alignment vertical="center"/>
    </xf>
    <xf numFmtId="164" fontId="11" fillId="2" borderId="1" xfId="0" applyNumberFormat="1" applyFont="1" applyFill="1" applyBorder="1" applyAlignment="1">
      <alignment vertical="center"/>
    </xf>
    <xf numFmtId="164" fontId="11" fillId="6" borderId="1" xfId="0" applyNumberFormat="1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164" fontId="29" fillId="0" borderId="0" xfId="0" applyNumberFormat="1" applyFont="1"/>
    <xf numFmtId="0" fontId="2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3" fontId="13" fillId="0" borderId="0" xfId="0" applyNumberFormat="1" applyFont="1" applyAlignment="1">
      <alignment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0" fontId="21" fillId="0" borderId="19" xfId="0" applyFont="1" applyBorder="1" applyAlignment="1">
      <alignment horizontal="left" vertical="center" wrapText="1"/>
    </xf>
    <xf numFmtId="166" fontId="21" fillId="0" borderId="22" xfId="1" applyNumberFormat="1" applyFont="1" applyBorder="1" applyAlignment="1">
      <alignment horizontal="right" vertical="center" wrapText="1"/>
    </xf>
    <xf numFmtId="165" fontId="21" fillId="0" borderId="25" xfId="1" applyFont="1" applyBorder="1" applyAlignment="1">
      <alignment vertical="center" wrapText="1"/>
    </xf>
    <xf numFmtId="166" fontId="21" fillId="0" borderId="26" xfId="1" applyNumberFormat="1" applyFont="1" applyBorder="1" applyAlignment="1">
      <alignment horizontal="right" vertical="center" wrapText="1"/>
    </xf>
    <xf numFmtId="0" fontId="13" fillId="0" borderId="27" xfId="0" applyFont="1" applyBorder="1" applyAlignment="1">
      <alignment vertical="center" wrapText="1"/>
    </xf>
    <xf numFmtId="0" fontId="13" fillId="0" borderId="28" xfId="0" applyFont="1" applyBorder="1" applyAlignment="1">
      <alignment vertical="center" wrapText="1"/>
    </xf>
    <xf numFmtId="0" fontId="13" fillId="0" borderId="29" xfId="0" applyFont="1" applyBorder="1" applyAlignment="1">
      <alignment vertical="center" wrapText="1"/>
    </xf>
    <xf numFmtId="0" fontId="21" fillId="0" borderId="30" xfId="0" applyFont="1" applyBorder="1" applyAlignment="1">
      <alignment vertical="center" wrapText="1"/>
    </xf>
    <xf numFmtId="0" fontId="21" fillId="0" borderId="31" xfId="0" applyFont="1" applyBorder="1" applyAlignment="1">
      <alignment horizontal="left" vertical="center" wrapText="1"/>
    </xf>
    <xf numFmtId="0" fontId="21" fillId="0" borderId="32" xfId="0" applyFont="1" applyBorder="1" applyAlignment="1">
      <alignment vertical="center" wrapText="1"/>
    </xf>
    <xf numFmtId="166" fontId="13" fillId="0" borderId="22" xfId="1" applyNumberFormat="1" applyFont="1" applyBorder="1" applyAlignment="1">
      <alignment horizontal="right" vertical="center" wrapText="1"/>
    </xf>
    <xf numFmtId="0" fontId="25" fillId="0" borderId="31" xfId="0" applyFont="1" applyBorder="1" applyAlignment="1">
      <alignment horizontal="left" vertical="center" wrapText="1"/>
    </xf>
    <xf numFmtId="0" fontId="25" fillId="0" borderId="32" xfId="0" applyFont="1" applyBorder="1" applyAlignment="1">
      <alignment vertical="center" wrapText="1"/>
    </xf>
    <xf numFmtId="0" fontId="21" fillId="0" borderId="33" xfId="0" applyFont="1" applyBorder="1" applyAlignment="1">
      <alignment horizontal="right" vertical="center" wrapText="1"/>
    </xf>
    <xf numFmtId="3" fontId="13" fillId="0" borderId="22" xfId="0" applyNumberFormat="1" applyFont="1" applyBorder="1" applyAlignment="1">
      <alignment horizontal="right" vertical="center" wrapText="1"/>
    </xf>
    <xf numFmtId="0" fontId="21" fillId="0" borderId="26" xfId="0" applyFont="1" applyBorder="1" applyAlignment="1">
      <alignment vertical="center" wrapText="1"/>
    </xf>
    <xf numFmtId="166" fontId="13" fillId="0" borderId="36" xfId="1" applyNumberFormat="1" applyFont="1" applyBorder="1" applyAlignment="1">
      <alignment vertical="center" wrapText="1"/>
    </xf>
    <xf numFmtId="166" fontId="13" fillId="0" borderId="37" xfId="1" applyNumberFormat="1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 wrapText="1"/>
    </xf>
    <xf numFmtId="0" fontId="0" fillId="0" borderId="46" xfId="0" applyBorder="1"/>
    <xf numFmtId="0" fontId="2" fillId="0" borderId="46" xfId="0" applyFont="1" applyBorder="1" applyAlignment="1">
      <alignment horizontal="right"/>
    </xf>
    <xf numFmtId="0" fontId="13" fillId="0" borderId="33" xfId="0" applyFont="1" applyBorder="1" applyAlignment="1">
      <alignment vertical="center" wrapText="1"/>
    </xf>
    <xf numFmtId="37" fontId="21" fillId="0" borderId="22" xfId="0" applyNumberFormat="1" applyFont="1" applyBorder="1" applyAlignment="1">
      <alignment horizontal="right" vertical="center" wrapText="1"/>
    </xf>
    <xf numFmtId="166" fontId="13" fillId="0" borderId="33" xfId="1" applyNumberFormat="1" applyFont="1" applyBorder="1" applyAlignment="1">
      <alignment horizontal="right" vertical="center" wrapText="1"/>
    </xf>
    <xf numFmtId="3" fontId="13" fillId="0" borderId="22" xfId="0" applyNumberFormat="1" applyFont="1" applyBorder="1" applyAlignment="1">
      <alignment vertical="center" wrapText="1"/>
    </xf>
    <xf numFmtId="3" fontId="13" fillId="0" borderId="33" xfId="0" applyNumberFormat="1" applyFont="1" applyBorder="1" applyAlignment="1">
      <alignment horizontal="right" vertical="center" wrapText="1"/>
    </xf>
    <xf numFmtId="3" fontId="25" fillId="0" borderId="22" xfId="0" applyNumberFormat="1" applyFont="1" applyBorder="1" applyAlignment="1">
      <alignment vertical="center" wrapText="1"/>
    </xf>
    <xf numFmtId="166" fontId="25" fillId="0" borderId="33" xfId="0" applyNumberFormat="1" applyFont="1" applyBorder="1" applyAlignment="1">
      <alignment horizontal="right" vertical="center" wrapText="1"/>
    </xf>
    <xf numFmtId="0" fontId="21" fillId="0" borderId="22" xfId="0" applyFont="1" applyBorder="1" applyAlignment="1">
      <alignment horizontal="right" vertical="center" wrapText="1"/>
    </xf>
    <xf numFmtId="166" fontId="13" fillId="0" borderId="22" xfId="0" applyNumberFormat="1" applyFont="1" applyBorder="1" applyAlignment="1">
      <alignment horizontal="right" vertical="center" wrapText="1"/>
    </xf>
    <xf numFmtId="0" fontId="25" fillId="0" borderId="47" xfId="0" applyFont="1" applyBorder="1" applyAlignment="1">
      <alignment vertical="center" wrapText="1"/>
    </xf>
    <xf numFmtId="166" fontId="13" fillId="0" borderId="48" xfId="0" applyNumberFormat="1" applyFont="1" applyBorder="1" applyAlignment="1">
      <alignment horizontal="right" vertical="center" wrapText="1"/>
    </xf>
    <xf numFmtId="166" fontId="13" fillId="0" borderId="10" xfId="1" applyNumberFormat="1" applyFont="1" applyBorder="1" applyAlignment="1">
      <alignment horizontal="right" vertical="center" wrapText="1"/>
    </xf>
    <xf numFmtId="166" fontId="13" fillId="0" borderId="30" xfId="1" applyNumberFormat="1" applyFont="1" applyBorder="1" applyAlignment="1">
      <alignment horizontal="right" vertical="center" wrapText="1"/>
    </xf>
    <xf numFmtId="166" fontId="21" fillId="0" borderId="30" xfId="1" applyNumberFormat="1" applyFont="1" applyBorder="1" applyAlignment="1">
      <alignment horizontal="right" vertical="center" wrapText="1"/>
    </xf>
    <xf numFmtId="0" fontId="32" fillId="0" borderId="7" xfId="0" applyFont="1" applyBorder="1" applyAlignment="1">
      <alignment horizontal="center" vertical="center"/>
    </xf>
    <xf numFmtId="166" fontId="0" fillId="0" borderId="0" xfId="0" applyNumberFormat="1"/>
    <xf numFmtId="0" fontId="21" fillId="0" borderId="43" xfId="0" applyFont="1" applyBorder="1" applyAlignment="1">
      <alignment horizontal="left" vertical="center" wrapText="1"/>
    </xf>
    <xf numFmtId="165" fontId="21" fillId="0" borderId="52" xfId="1" applyFont="1" applyBorder="1" applyAlignment="1">
      <alignment vertical="center" wrapText="1"/>
    </xf>
    <xf numFmtId="0" fontId="11" fillId="0" borderId="53" xfId="0" applyFont="1" applyBorder="1" applyAlignment="1">
      <alignment horizontal="left" vertical="center"/>
    </xf>
    <xf numFmtId="166" fontId="13" fillId="0" borderId="10" xfId="0" applyNumberFormat="1" applyFont="1" applyBorder="1" applyAlignment="1">
      <alignment vertical="center" wrapText="1"/>
    </xf>
    <xf numFmtId="0" fontId="25" fillId="0" borderId="21" xfId="0" applyFont="1" applyBorder="1" applyAlignment="1">
      <alignment vertical="center" wrapText="1"/>
    </xf>
    <xf numFmtId="0" fontId="25" fillId="0" borderId="27" xfId="0" applyFont="1" applyBorder="1" applyAlignment="1">
      <alignment horizontal="left" vertical="center" wrapText="1"/>
    </xf>
    <xf numFmtId="0" fontId="13" fillId="0" borderId="31" xfId="0" applyFont="1" applyBorder="1" applyAlignment="1">
      <alignment horizontal="left" vertical="center" wrapText="1"/>
    </xf>
    <xf numFmtId="166" fontId="21" fillId="0" borderId="22" xfId="0" applyNumberFormat="1" applyFont="1" applyBorder="1" applyAlignment="1">
      <alignment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vertical="center"/>
    </xf>
    <xf numFmtId="49" fontId="2" fillId="0" borderId="1" xfId="0" quotePrefix="1" applyNumberFormat="1" applyFont="1" applyBorder="1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quotePrefix="1" applyFont="1" applyBorder="1" applyAlignment="1">
      <alignment vertical="center"/>
    </xf>
    <xf numFmtId="0" fontId="4" fillId="0" borderId="0" xfId="0" applyFont="1" applyAlignment="1">
      <alignment vertical="center"/>
    </xf>
    <xf numFmtId="49" fontId="2" fillId="0" borderId="1" xfId="0" quotePrefix="1" applyNumberFormat="1" applyFont="1" applyBorder="1" applyAlignment="1">
      <alignment vertical="center" wrapText="1"/>
    </xf>
    <xf numFmtId="49" fontId="2" fillId="5" borderId="1" xfId="0" quotePrefix="1" applyNumberFormat="1" applyFont="1" applyFill="1" applyBorder="1" applyAlignment="1">
      <alignment vertical="center"/>
    </xf>
    <xf numFmtId="164" fontId="21" fillId="0" borderId="0" xfId="0" applyNumberFormat="1" applyFont="1" applyAlignment="1">
      <alignment vertical="center"/>
    </xf>
    <xf numFmtId="0" fontId="33" fillId="0" borderId="0" xfId="0" applyFont="1"/>
    <xf numFmtId="0" fontId="34" fillId="5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1" fillId="0" borderId="0" xfId="0" applyFont="1" applyAlignment="1">
      <alignment horizontal="right"/>
    </xf>
    <xf numFmtId="3" fontId="24" fillId="0" borderId="0" xfId="3" applyNumberFormat="1" applyFont="1" applyFill="1" applyAlignment="1">
      <alignment horizontal="right" vertical="center"/>
    </xf>
    <xf numFmtId="164" fontId="3" fillId="0" borderId="0" xfId="0" applyNumberFormat="1" applyFont="1" applyAlignment="1">
      <alignment horizontal="right"/>
    </xf>
    <xf numFmtId="0" fontId="13" fillId="0" borderId="21" xfId="0" applyFont="1" applyBorder="1" applyAlignment="1">
      <alignment horizontal="left" vertical="center" wrapText="1"/>
    </xf>
    <xf numFmtId="0" fontId="13" fillId="0" borderId="56" xfId="0" applyFont="1" applyBorder="1" applyAlignment="1">
      <alignment horizontal="left" vertical="center" wrapText="1"/>
    </xf>
    <xf numFmtId="0" fontId="25" fillId="0" borderId="57" xfId="0" applyFont="1" applyBorder="1" applyAlignment="1">
      <alignment vertical="center" wrapText="1"/>
    </xf>
    <xf numFmtId="3" fontId="13" fillId="0" borderId="58" xfId="0" applyNumberFormat="1" applyFont="1" applyBorder="1" applyAlignment="1">
      <alignment horizontal="right" vertical="center" wrapText="1"/>
    </xf>
    <xf numFmtId="166" fontId="13" fillId="0" borderId="60" xfId="1" applyNumberFormat="1" applyFont="1" applyBorder="1" applyAlignment="1">
      <alignment horizontal="right" vertical="center" wrapText="1"/>
    </xf>
    <xf numFmtId="166" fontId="13" fillId="0" borderId="55" xfId="0" applyNumberFormat="1" applyFont="1" applyBorder="1" applyAlignment="1">
      <alignment horizontal="right"/>
    </xf>
    <xf numFmtId="3" fontId="4" fillId="4" borderId="1" xfId="2" applyNumberFormat="1" applyFont="1" applyFill="1" applyBorder="1" applyAlignment="1">
      <alignment vertical="center"/>
    </xf>
    <xf numFmtId="3" fontId="4" fillId="8" borderId="1" xfId="2" applyNumberFormat="1" applyFont="1" applyFill="1" applyBorder="1" applyAlignment="1">
      <alignment horizontal="right" vertical="center"/>
    </xf>
    <xf numFmtId="164" fontId="3" fillId="11" borderId="1" xfId="0" applyNumberFormat="1" applyFont="1" applyFill="1" applyBorder="1" applyAlignment="1">
      <alignment vertical="center"/>
    </xf>
    <xf numFmtId="0" fontId="3" fillId="5" borderId="6" xfId="0" applyFont="1" applyFill="1" applyBorder="1" applyAlignment="1">
      <alignment vertical="center"/>
    </xf>
    <xf numFmtId="0" fontId="20" fillId="5" borderId="1" xfId="0" applyFont="1" applyFill="1" applyBorder="1" applyAlignment="1">
      <alignment vertical="center" wrapText="1"/>
    </xf>
    <xf numFmtId="0" fontId="16" fillId="0" borderId="6" xfId="0" applyFont="1" applyBorder="1" applyAlignment="1">
      <alignment vertical="center" wrapText="1"/>
    </xf>
    <xf numFmtId="0" fontId="20" fillId="5" borderId="6" xfId="0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3" fontId="24" fillId="0" borderId="0" xfId="3" applyNumberFormat="1" applyFont="1" applyFill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3" fontId="13" fillId="0" borderId="0" xfId="0" applyNumberFormat="1" applyFont="1" applyAlignment="1">
      <alignment horizontal="center"/>
    </xf>
    <xf numFmtId="3" fontId="14" fillId="0" borderId="0" xfId="3" applyNumberFormat="1" applyFont="1" applyFill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3" fontId="13" fillId="3" borderId="2" xfId="0" applyNumberFormat="1" applyFont="1" applyFill="1" applyBorder="1" applyAlignment="1">
      <alignment horizontal="center" vertical="center" wrapText="1"/>
    </xf>
    <xf numFmtId="3" fontId="13" fillId="3" borderId="5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 vertical="center"/>
    </xf>
    <xf numFmtId="164" fontId="3" fillId="2" borderId="4" xfId="0" applyNumberFormat="1" applyFont="1" applyFill="1" applyBorder="1" applyAlignment="1">
      <alignment horizontal="right" vertical="center"/>
    </xf>
    <xf numFmtId="164" fontId="3" fillId="2" borderId="6" xfId="0" applyNumberFormat="1" applyFont="1" applyFill="1" applyBorder="1" applyAlignment="1">
      <alignment horizontal="right" vertical="center"/>
    </xf>
    <xf numFmtId="0" fontId="13" fillId="0" borderId="0" xfId="0" applyFont="1" applyAlignment="1">
      <alignment horizontal="center" vertical="center"/>
    </xf>
    <xf numFmtId="3" fontId="1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13" fillId="0" borderId="8" xfId="0" applyFont="1" applyBorder="1" applyAlignment="1">
      <alignment vertical="center" wrapText="1"/>
    </xf>
    <xf numFmtId="0" fontId="13" fillId="0" borderId="9" xfId="0" applyFont="1" applyBorder="1" applyAlignment="1">
      <alignment vertical="center" wrapText="1"/>
    </xf>
    <xf numFmtId="0" fontId="13" fillId="0" borderId="10" xfId="0" applyFont="1" applyBorder="1" applyAlignment="1">
      <alignment vertical="center" wrapText="1"/>
    </xf>
    <xf numFmtId="0" fontId="21" fillId="0" borderId="11" xfId="0" applyFont="1" applyBorder="1" applyAlignment="1">
      <alignment vertical="center" wrapText="1"/>
    </xf>
    <xf numFmtId="0" fontId="21" fillId="0" borderId="12" xfId="0" applyFont="1" applyBorder="1" applyAlignment="1">
      <alignment vertical="center" wrapText="1"/>
    </xf>
    <xf numFmtId="0" fontId="21" fillId="0" borderId="13" xfId="0" applyFont="1" applyBorder="1" applyAlignment="1">
      <alignment vertical="center" wrapText="1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horizontal="center" vertical="center" wrapText="1"/>
    </xf>
    <xf numFmtId="0" fontId="21" fillId="0" borderId="14" xfId="0" applyFont="1" applyBorder="1" applyAlignment="1">
      <alignment vertical="center" wrapText="1"/>
    </xf>
    <xf numFmtId="0" fontId="21" fillId="0" borderId="15" xfId="0" applyFont="1" applyBorder="1" applyAlignment="1">
      <alignment vertical="center" wrapText="1"/>
    </xf>
    <xf numFmtId="0" fontId="21" fillId="0" borderId="16" xfId="0" applyFont="1" applyBorder="1" applyAlignment="1">
      <alignment vertical="center" wrapText="1"/>
    </xf>
    <xf numFmtId="0" fontId="13" fillId="0" borderId="17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21" fillId="0" borderId="17" xfId="0" applyFont="1" applyBorder="1" applyAlignment="1">
      <alignment horizontal="left" vertical="center" wrapText="1"/>
    </xf>
    <xf numFmtId="0" fontId="21" fillId="0" borderId="18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54" xfId="0" applyFont="1" applyBorder="1" applyAlignment="1">
      <alignment horizontal="left" vertical="center" wrapText="1"/>
    </xf>
    <xf numFmtId="0" fontId="21" fillId="0" borderId="20" xfId="0" applyFont="1" applyBorder="1" applyAlignment="1">
      <alignment horizontal="left" vertical="center" wrapText="1"/>
    </xf>
    <xf numFmtId="0" fontId="21" fillId="0" borderId="21" xfId="0" applyFont="1" applyBorder="1" applyAlignment="1">
      <alignment horizontal="left" vertical="center" wrapText="1"/>
    </xf>
    <xf numFmtId="0" fontId="13" fillId="0" borderId="23" xfId="0" applyFont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21" fillId="0" borderId="23" xfId="0" applyFont="1" applyBorder="1" applyAlignment="1">
      <alignment horizontal="left" vertical="center" wrapText="1"/>
    </xf>
    <xf numFmtId="0" fontId="21" fillId="0" borderId="24" xfId="0" applyFont="1" applyBorder="1" applyAlignment="1">
      <alignment horizontal="left" vertical="center" wrapText="1"/>
    </xf>
    <xf numFmtId="0" fontId="13" fillId="0" borderId="49" xfId="0" applyFont="1" applyBorder="1" applyAlignment="1">
      <alignment horizontal="left" vertical="center" wrapText="1"/>
    </xf>
    <xf numFmtId="0" fontId="13" fillId="0" borderId="59" xfId="0" applyFont="1" applyBorder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13" fillId="0" borderId="35" xfId="0" applyFont="1" applyBorder="1" applyAlignment="1">
      <alignment horizontal="left" vertical="center" wrapText="1"/>
    </xf>
    <xf numFmtId="0" fontId="30" fillId="0" borderId="55" xfId="0" applyFont="1" applyBorder="1" applyAlignment="1">
      <alignment horizontal="left" vertical="center" wrapText="1"/>
    </xf>
    <xf numFmtId="0" fontId="30" fillId="0" borderId="17" xfId="0" applyFont="1" applyBorder="1" applyAlignment="1">
      <alignment horizontal="left" vertical="center" wrapText="1"/>
    </xf>
    <xf numFmtId="0" fontId="30" fillId="0" borderId="38" xfId="0" applyFont="1" applyBorder="1" applyAlignment="1">
      <alignment horizontal="left" vertical="center" wrapText="1"/>
    </xf>
    <xf numFmtId="0" fontId="30" fillId="0" borderId="18" xfId="0" applyFont="1" applyBorder="1" applyAlignment="1">
      <alignment horizontal="left" vertical="center" wrapText="1"/>
    </xf>
    <xf numFmtId="166" fontId="13" fillId="0" borderId="36" xfId="1" applyNumberFormat="1" applyFont="1" applyBorder="1" applyAlignment="1">
      <alignment horizontal="center" vertical="center" wrapText="1"/>
    </xf>
    <xf numFmtId="166" fontId="13" fillId="0" borderId="39" xfId="1" applyNumberFormat="1" applyFont="1" applyBorder="1" applyAlignment="1">
      <alignment horizontal="center" vertical="center" wrapText="1"/>
    </xf>
    <xf numFmtId="166" fontId="13" fillId="0" borderId="40" xfId="1" applyNumberFormat="1" applyFont="1" applyBorder="1" applyAlignment="1">
      <alignment horizontal="center" vertical="center" wrapText="1"/>
    </xf>
    <xf numFmtId="0" fontId="30" fillId="0" borderId="34" xfId="0" applyFont="1" applyBorder="1" applyAlignment="1">
      <alignment horizontal="left" vertical="center" wrapText="1"/>
    </xf>
    <xf numFmtId="0" fontId="30" fillId="0" borderId="39" xfId="0" applyFont="1" applyBorder="1" applyAlignment="1">
      <alignment horizontal="left" vertical="center" wrapText="1"/>
    </xf>
    <xf numFmtId="0" fontId="30" fillId="0" borderId="35" xfId="0" applyFont="1" applyBorder="1" applyAlignment="1">
      <alignment horizontal="left" vertical="center" wrapText="1"/>
    </xf>
    <xf numFmtId="0" fontId="30" fillId="0" borderId="41" xfId="0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 wrapText="1"/>
    </xf>
    <xf numFmtId="0" fontId="30" fillId="0" borderId="42" xfId="0" applyFont="1" applyBorder="1" applyAlignment="1">
      <alignment horizontal="left" vertical="center" wrapText="1"/>
    </xf>
    <xf numFmtId="0" fontId="31" fillId="0" borderId="43" xfId="0" applyFont="1" applyBorder="1" applyAlignment="1">
      <alignment horizontal="center" vertical="center" wrapText="1"/>
    </xf>
    <xf numFmtId="0" fontId="31" fillId="0" borderId="44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left" vertical="center" wrapText="1"/>
    </xf>
    <xf numFmtId="166" fontId="30" fillId="0" borderId="36" xfId="1" applyNumberFormat="1" applyFont="1" applyBorder="1" applyAlignment="1">
      <alignment horizontal="center" vertical="center" wrapText="1"/>
    </xf>
    <xf numFmtId="166" fontId="30" fillId="0" borderId="39" xfId="1" applyNumberFormat="1" applyFont="1" applyBorder="1" applyAlignment="1">
      <alignment horizontal="center" vertical="center" wrapText="1"/>
    </xf>
    <xf numFmtId="166" fontId="30" fillId="0" borderId="40" xfId="1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166" fontId="30" fillId="5" borderId="36" xfId="1" applyNumberFormat="1" applyFont="1" applyFill="1" applyBorder="1" applyAlignment="1">
      <alignment horizontal="center" vertical="center" wrapText="1"/>
    </xf>
    <xf numFmtId="166" fontId="30" fillId="5" borderId="39" xfId="1" applyNumberFormat="1" applyFont="1" applyFill="1" applyBorder="1" applyAlignment="1">
      <alignment horizontal="center" vertical="center" wrapText="1"/>
    </xf>
    <xf numFmtId="166" fontId="30" fillId="5" borderId="40" xfId="1" applyNumberFormat="1" applyFont="1" applyFill="1" applyBorder="1" applyAlignment="1">
      <alignment horizontal="center" vertical="center" wrapText="1"/>
    </xf>
    <xf numFmtId="0" fontId="30" fillId="0" borderId="49" xfId="0" applyFont="1" applyBorder="1" applyAlignment="1">
      <alignment horizontal="left" vertical="center" wrapText="1"/>
    </xf>
    <xf numFmtId="0" fontId="30" fillId="0" borderId="50" xfId="0" applyFont="1" applyBorder="1" applyAlignment="1">
      <alignment horizontal="left" vertical="center" wrapText="1"/>
    </xf>
    <xf numFmtId="0" fontId="30" fillId="0" borderId="51" xfId="0" applyFont="1" applyBorder="1" applyAlignment="1">
      <alignment horizontal="left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5" xfId="0" applyFont="1" applyFill="1" applyBorder="1" applyAlignment="1">
      <alignment horizontal="center" vertical="center" wrapText="1"/>
    </xf>
  </cellXfs>
  <cellStyles count="5">
    <cellStyle name="Comma" xfId="1" builtinId="3"/>
    <cellStyle name="Comma 2 4" xfId="3" xr:uid="{00000000-0005-0000-0000-000001000000}"/>
    <cellStyle name="Normal" xfId="0" builtinId="0"/>
    <cellStyle name="Normal_Mau 01aTBH va 3aTBH 1643 3" xfId="2" xr:uid="{00000000-0005-0000-0000-000003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iso.xla" TargetMode="External"/><Relationship Id="rId1" Type="http://schemas.openxmlformats.org/officeDocument/2006/relationships/externalLinkPath" Target="/Doiso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HAM%20CONG%20NV%202022/HOP%20DONG%20LD/CHUAN/B&#7842;NG%20L&#431;&#416;NG%202024/Copy%20of%20BANG%20LUONG%20T01%202024_gui%20lai_S&#7916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 xml:space="preserve">Bản thân 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 xml:space="preserve"> Nhân viên đóng</v>
          </cell>
          <cell r="I25" t="str">
            <v xml:space="preserve"> 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Doiso"/>
    </sheetNames>
    <definedNames>
      <definedName name="vnd"/>
    </defined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1.2024"/>
      <sheetName val="BẢNG LƯƠNG T01.2024_sửa"/>
      <sheetName val="BHXH T01.2024"/>
      <sheetName val="BẢNG LƯƠNG T01.2024_CĐ SAU TNTT"/>
      <sheetName val="BL T01.2024_sửa+thưởng Tết_nháp"/>
      <sheetName val="Thưởng Tết"/>
      <sheetName val="DS STK NV"/>
      <sheetName val="Sheet1"/>
      <sheetName val="HCM"/>
      <sheetName val="Tờ khai Thuế TNCN Q3.2023"/>
    </sheetNames>
    <sheetDataSet>
      <sheetData sheetId="0">
        <row r="11">
          <cell r="F11">
            <v>10000000</v>
          </cell>
        </row>
      </sheetData>
      <sheetData sheetId="1">
        <row r="13">
          <cell r="C13" t="str">
            <v>Trần Phúc Yên</v>
          </cell>
        </row>
      </sheetData>
      <sheetData sheetId="2"/>
      <sheetData sheetId="3">
        <row r="13">
          <cell r="D13" t="str">
            <v>Trần Phúc Yên</v>
          </cell>
        </row>
      </sheetData>
      <sheetData sheetId="4"/>
      <sheetData sheetId="5"/>
      <sheetData sheetId="6">
        <row r="4">
          <cell r="B4" t="str">
            <v>Trần Phúc Yên</v>
          </cell>
        </row>
        <row r="5">
          <cell r="B5" t="str">
            <v>Lê Văn Hiến</v>
          </cell>
        </row>
        <row r="6">
          <cell r="B6" t="str">
            <v>Đinh Thị Kim Loan</v>
          </cell>
        </row>
        <row r="7">
          <cell r="B7" t="str">
            <v>Ngô Thị Huyền Trâm</v>
          </cell>
        </row>
        <row r="8">
          <cell r="B8" t="str">
            <v>Nguyễn Thị Kiều</v>
          </cell>
        </row>
        <row r="9">
          <cell r="B9" t="str">
            <v>Lê Thị Kim Thoa</v>
          </cell>
        </row>
        <row r="10">
          <cell r="B10" t="str">
            <v>Nguyễn Thị Ái Sương</v>
          </cell>
        </row>
        <row r="11">
          <cell r="B11" t="str">
            <v>Ngô Nguyễn Thu Hiền</v>
          </cell>
        </row>
        <row r="12">
          <cell r="B12" t="str">
            <v>Hoàng Mai Anh</v>
          </cell>
        </row>
        <row r="13">
          <cell r="B13" t="str">
            <v>Trần Ngọc Quỳnh Mai</v>
          </cell>
        </row>
        <row r="14">
          <cell r="B14" t="str">
            <v>Huỳnh Thị Việt Hà</v>
          </cell>
        </row>
        <row r="15">
          <cell r="B15" t="str">
            <v>Nguyễn Thị Mỹ Linh</v>
          </cell>
        </row>
        <row r="16">
          <cell r="B16" t="str">
            <v>Phạm Ngọc Linh</v>
          </cell>
        </row>
        <row r="17">
          <cell r="B17" t="str">
            <v>Đặng Thị Duyên</v>
          </cell>
        </row>
        <row r="18">
          <cell r="B18" t="str">
            <v>Nguyễn Thành Huy</v>
          </cell>
        </row>
        <row r="19">
          <cell r="B19" t="str">
            <v>Tạ Thị Hồng Diễm</v>
          </cell>
        </row>
        <row r="20">
          <cell r="B20" t="str">
            <v>Tô Văn Trung</v>
          </cell>
        </row>
        <row r="21">
          <cell r="B21" t="str">
            <v>Nguyễn Tiến Hùng</v>
          </cell>
        </row>
        <row r="22">
          <cell r="B22" t="str">
            <v>Lương Nguyễn Hoàng</v>
          </cell>
        </row>
        <row r="23">
          <cell r="B23" t="str">
            <v>Nguyễn Tấn Chí</v>
          </cell>
        </row>
        <row r="24">
          <cell r="B24" t="str">
            <v>Lê Quang Vinh</v>
          </cell>
        </row>
        <row r="25">
          <cell r="B25" t="str">
            <v>Nguyễn Tư Nghiêm</v>
          </cell>
        </row>
        <row r="26">
          <cell r="B26" t="str">
            <v>Nguyễn Hữu An</v>
          </cell>
        </row>
        <row r="27">
          <cell r="B27" t="str">
            <v>Lê Thị Phương Yên</v>
          </cell>
        </row>
        <row r="28">
          <cell r="B28" t="str">
            <v>Phan Đăng Việt</v>
          </cell>
        </row>
        <row r="29">
          <cell r="B29" t="str">
            <v>Ngô Kỳ Viên</v>
          </cell>
        </row>
        <row r="30">
          <cell r="B30" t="str">
            <v>Lê Vũ</v>
          </cell>
        </row>
        <row r="31">
          <cell r="B31" t="str">
            <v>Mang Cao Tùng</v>
          </cell>
        </row>
        <row r="32">
          <cell r="B32" t="str">
            <v>Võ Văn Hoàng</v>
          </cell>
        </row>
        <row r="33">
          <cell r="B33" t="str">
            <v>Nguyễn Hoài Nam</v>
          </cell>
        </row>
        <row r="34">
          <cell r="B34" t="str">
            <v>Lê Hoài Tâm</v>
          </cell>
        </row>
        <row r="35">
          <cell r="B35" t="str">
            <v>Nguyễn Viết Thành</v>
          </cell>
        </row>
        <row r="36">
          <cell r="B36" t="str">
            <v>Nguyễn Bảo Toàn</v>
          </cell>
        </row>
        <row r="37">
          <cell r="B37" t="str">
            <v>Nguyễn Huệ</v>
          </cell>
        </row>
        <row r="38">
          <cell r="B38" t="str">
            <v>Lê Văn Lưu</v>
          </cell>
        </row>
        <row r="39">
          <cell r="B39" t="str">
            <v>Dương Thị Thanh Diễm</v>
          </cell>
        </row>
        <row r="40">
          <cell r="B40" t="str">
            <v>Đào Lý Trân</v>
          </cell>
        </row>
        <row r="41">
          <cell r="B41" t="str">
            <v>Lê Khánh Vân</v>
          </cell>
        </row>
        <row r="42">
          <cell r="B42" t="str">
            <v>Phan Thành Công</v>
          </cell>
        </row>
        <row r="43">
          <cell r="B43" t="str">
            <v>Trần Văn Thiện</v>
          </cell>
        </row>
        <row r="44">
          <cell r="B44" t="str">
            <v>Phạm Nguyễn Thu Trang</v>
          </cell>
        </row>
        <row r="45">
          <cell r="B45" t="str">
            <v>Trần Đình Bảo</v>
          </cell>
        </row>
        <row r="46">
          <cell r="B46" t="str">
            <v>Nguyễn Thị Ngọc Lam</v>
          </cell>
        </row>
        <row r="47">
          <cell r="B47" t="str">
            <v>Đỗ Văn Tiếp</v>
          </cell>
        </row>
        <row r="48">
          <cell r="B48" t="str">
            <v>Nguyễn Thị Thùy Duyên</v>
          </cell>
        </row>
        <row r="49">
          <cell r="B49" t="str">
            <v>Trần Thị Ngọc Tuyết</v>
          </cell>
        </row>
        <row r="50">
          <cell r="B50" t="str">
            <v>Nguyễn Thị Trang</v>
          </cell>
        </row>
        <row r="51">
          <cell r="B51" t="str">
            <v>Lê Thị Phấn</v>
          </cell>
        </row>
        <row r="52">
          <cell r="B52" t="str">
            <v>Nguyễn Ngọc Hưng</v>
          </cell>
        </row>
        <row r="53">
          <cell r="B53" t="str">
            <v>Nguyễn Thị Thanh Nhật</v>
          </cell>
        </row>
        <row r="54">
          <cell r="B54" t="str">
            <v>Bùi Thị Mỹ Linh</v>
          </cell>
        </row>
        <row r="55">
          <cell r="B55" t="str">
            <v>Nguyễn Thị Cẩm Tú</v>
          </cell>
        </row>
        <row r="56">
          <cell r="B56" t="str">
            <v>Đinh Hoàng Vũ</v>
          </cell>
        </row>
        <row r="57">
          <cell r="B57" t="str">
            <v>Nguyễn Thị Kim Lượng</v>
          </cell>
        </row>
        <row r="58">
          <cell r="B58" t="str">
            <v>Triệu Thị Thanh Ngọc</v>
          </cell>
        </row>
        <row r="59">
          <cell r="B59" t="str">
            <v>Nguyễn Phạm Hồng Sang</v>
          </cell>
        </row>
        <row r="60">
          <cell r="B60" t="str">
            <v>Trần Thị Kim Ý</v>
          </cell>
        </row>
        <row r="61">
          <cell r="B61" t="str">
            <v>Võ Thị Y Nguyên</v>
          </cell>
        </row>
        <row r="62">
          <cell r="B62" t="str">
            <v>Nguyễn Thị Hằng</v>
          </cell>
        </row>
        <row r="63">
          <cell r="B63" t="str">
            <v>Nguyễn Thành Đạt</v>
          </cell>
        </row>
        <row r="64">
          <cell r="B64" t="str">
            <v>Nguyễn Quốc Trạng</v>
          </cell>
        </row>
        <row r="65">
          <cell r="B65" t="str">
            <v>Nguyễn Trọng Hữu</v>
          </cell>
        </row>
        <row r="66">
          <cell r="B66" t="str">
            <v>Bùi Ngọc Sang</v>
          </cell>
        </row>
        <row r="67">
          <cell r="B67" t="str">
            <v>Ngô Thành Danh</v>
          </cell>
        </row>
        <row r="68">
          <cell r="B68" t="str">
            <v>Nguyễn Đức Huy</v>
          </cell>
        </row>
        <row r="69">
          <cell r="B69" t="str">
            <v>Huỳnh Tấn Đoan</v>
          </cell>
        </row>
        <row r="70">
          <cell r="B70" t="str">
            <v>Lê Long Vũ</v>
          </cell>
        </row>
        <row r="71">
          <cell r="B71" t="str">
            <v>Nguyễn Trọng Tín</v>
          </cell>
        </row>
        <row r="72">
          <cell r="B72" t="str">
            <v>Đặng Văn Tín</v>
          </cell>
        </row>
        <row r="73">
          <cell r="B73" t="str">
            <v>Phan Bảo Toàn</v>
          </cell>
        </row>
        <row r="74">
          <cell r="B74" t="str">
            <v>Trần Đình Thuận</v>
          </cell>
        </row>
        <row r="75">
          <cell r="B75" t="str">
            <v>Trương Anh Hiếu</v>
          </cell>
        </row>
        <row r="76">
          <cell r="B76" t="str">
            <v>Nguyễn Thị Đào</v>
          </cell>
        </row>
        <row r="77">
          <cell r="B77" t="str">
            <v>Nguyễn Thị Diễm My</v>
          </cell>
        </row>
        <row r="78">
          <cell r="B78" t="str">
            <v>Trần Long Cơ</v>
          </cell>
        </row>
        <row r="79">
          <cell r="B79" t="str">
            <v>Dương Chi Hoài Lê</v>
          </cell>
        </row>
        <row r="80">
          <cell r="B80" t="str">
            <v>Mai Thị Mỵ</v>
          </cell>
        </row>
        <row r="81">
          <cell r="B81" t="str">
            <v>Trần Ngọc Minh</v>
          </cell>
        </row>
        <row r="82">
          <cell r="B82" t="str">
            <v>Nguyễn Đồng Nguyên Thụ</v>
          </cell>
        </row>
        <row r="83">
          <cell r="B83" t="str">
            <v>Phan Xuân Tuyển</v>
          </cell>
        </row>
        <row r="84">
          <cell r="B84" t="str">
            <v>Lê Văn Thiên</v>
          </cell>
        </row>
        <row r="85">
          <cell r="B85" t="str">
            <v>Trà Thị Ái Lam</v>
          </cell>
        </row>
        <row r="86">
          <cell r="B86" t="str">
            <v>Đào Thị Lý</v>
          </cell>
        </row>
        <row r="87">
          <cell r="B87" t="str">
            <v>Nguyễn Thị Bích</v>
          </cell>
        </row>
        <row r="88">
          <cell r="B88" t="str">
            <v>Trần Thị Cảm</v>
          </cell>
        </row>
        <row r="89">
          <cell r="B89" t="str">
            <v>Nguyễn Thị Thu Trang</v>
          </cell>
        </row>
        <row r="90">
          <cell r="B90" t="str">
            <v>Phan Tiên Luân</v>
          </cell>
        </row>
        <row r="91">
          <cell r="B91" t="str">
            <v>Hồ Quang Hùng</v>
          </cell>
        </row>
        <row r="92">
          <cell r="B92" t="str">
            <v>Nguyễn Văn Anh</v>
          </cell>
        </row>
        <row r="93">
          <cell r="B93" t="str">
            <v>Nguyễn Kim Huy</v>
          </cell>
        </row>
        <row r="94">
          <cell r="B94" t="str">
            <v>Phạm Nhật Phàm</v>
          </cell>
        </row>
        <row r="95">
          <cell r="B95" t="str">
            <v>Bùi Thúc Hoài</v>
          </cell>
        </row>
        <row r="96">
          <cell r="B96" t="str">
            <v>Đặng Thị Thùy Linh</v>
          </cell>
        </row>
        <row r="97">
          <cell r="B97" t="str">
            <v>Ngô Trương Minh Hải</v>
          </cell>
        </row>
        <row r="98">
          <cell r="B98" t="str">
            <v>Đỗ Hoàng Đức Tiến</v>
          </cell>
        </row>
        <row r="99">
          <cell r="B99" t="str">
            <v>Bùi Minh Dương</v>
          </cell>
        </row>
        <row r="100">
          <cell r="B100" t="str">
            <v>Lâm Duy Khang</v>
          </cell>
        </row>
        <row r="101">
          <cell r="B101" t="str">
            <v>Trịnh Đình Vinh</v>
          </cell>
        </row>
        <row r="102">
          <cell r="B102" t="str">
            <v>Nguyễn Duy Hiếu</v>
          </cell>
        </row>
        <row r="103">
          <cell r="B103" t="str">
            <v>Huỳnh Hoàng Vũ</v>
          </cell>
        </row>
        <row r="104">
          <cell r="B104" t="str">
            <v>Nguyễn Thị Mỹ Khang</v>
          </cell>
        </row>
        <row r="105">
          <cell r="B105" t="str">
            <v>Nguyễn Thanh Quan</v>
          </cell>
        </row>
        <row r="106">
          <cell r="B106" t="str">
            <v>Nguyễn Huy Vương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nfo.astahealthcare.com/personnel" TargetMode="External"/><Relationship Id="rId18" Type="http://schemas.openxmlformats.org/officeDocument/2006/relationships/hyperlink" Target="https://info.astahealthcare.com/personnel" TargetMode="External"/><Relationship Id="rId26" Type="http://schemas.openxmlformats.org/officeDocument/2006/relationships/hyperlink" Target="https://info.astahealthcare.com/personnel" TargetMode="External"/><Relationship Id="rId39" Type="http://schemas.openxmlformats.org/officeDocument/2006/relationships/hyperlink" Target="https://info.astahealthcare.com/personnel" TargetMode="External"/><Relationship Id="rId21" Type="http://schemas.openxmlformats.org/officeDocument/2006/relationships/hyperlink" Target="https://info.astahealthcare.com/personnel" TargetMode="External"/><Relationship Id="rId34" Type="http://schemas.openxmlformats.org/officeDocument/2006/relationships/hyperlink" Target="https://info.astahealthcare.com/personnel" TargetMode="External"/><Relationship Id="rId42" Type="http://schemas.openxmlformats.org/officeDocument/2006/relationships/hyperlink" Target="https://info.astahealthcare.com/personnel" TargetMode="External"/><Relationship Id="rId7" Type="http://schemas.openxmlformats.org/officeDocument/2006/relationships/hyperlink" Target="https://info.astahealthcare.com/personnel" TargetMode="External"/><Relationship Id="rId2" Type="http://schemas.openxmlformats.org/officeDocument/2006/relationships/hyperlink" Target="https://info.astahealthcare.com/personnel" TargetMode="External"/><Relationship Id="rId16" Type="http://schemas.openxmlformats.org/officeDocument/2006/relationships/hyperlink" Target="https://info.astahealthcare.com/personnel" TargetMode="External"/><Relationship Id="rId29" Type="http://schemas.openxmlformats.org/officeDocument/2006/relationships/hyperlink" Target="https://info.astahealthcare.com/personnel" TargetMode="External"/><Relationship Id="rId1" Type="http://schemas.openxmlformats.org/officeDocument/2006/relationships/hyperlink" Target="https://info.astahealthcare.com/personnel" TargetMode="External"/><Relationship Id="rId6" Type="http://schemas.openxmlformats.org/officeDocument/2006/relationships/hyperlink" Target="https://info.astahealthcare.com/personnel" TargetMode="External"/><Relationship Id="rId11" Type="http://schemas.openxmlformats.org/officeDocument/2006/relationships/hyperlink" Target="https://info.astahealthcare.com/personnel" TargetMode="External"/><Relationship Id="rId24" Type="http://schemas.openxmlformats.org/officeDocument/2006/relationships/hyperlink" Target="https://info.astahealthcare.com/personnel" TargetMode="External"/><Relationship Id="rId32" Type="http://schemas.openxmlformats.org/officeDocument/2006/relationships/hyperlink" Target="https://info.astahealthcare.com/personnel" TargetMode="External"/><Relationship Id="rId37" Type="http://schemas.openxmlformats.org/officeDocument/2006/relationships/hyperlink" Target="https://info.astahealthcare.com/personnel" TargetMode="External"/><Relationship Id="rId40" Type="http://schemas.openxmlformats.org/officeDocument/2006/relationships/hyperlink" Target="https://info.astahealthcare.com/personnel" TargetMode="External"/><Relationship Id="rId45" Type="http://schemas.openxmlformats.org/officeDocument/2006/relationships/vmlDrawing" Target="../drawings/vmlDrawing1.vml"/><Relationship Id="rId5" Type="http://schemas.openxmlformats.org/officeDocument/2006/relationships/hyperlink" Target="https://info.astahealthcare.com/personnel" TargetMode="External"/><Relationship Id="rId15" Type="http://schemas.openxmlformats.org/officeDocument/2006/relationships/hyperlink" Target="https://info.astahealthcare.com/personnel" TargetMode="External"/><Relationship Id="rId23" Type="http://schemas.openxmlformats.org/officeDocument/2006/relationships/hyperlink" Target="https://info.astahealthcare.com/personnel" TargetMode="External"/><Relationship Id="rId28" Type="http://schemas.openxmlformats.org/officeDocument/2006/relationships/hyperlink" Target="https://info.astahealthcare.com/personnel" TargetMode="External"/><Relationship Id="rId36" Type="http://schemas.openxmlformats.org/officeDocument/2006/relationships/hyperlink" Target="https://info.astahealthcare.com/personnel" TargetMode="External"/><Relationship Id="rId10" Type="http://schemas.openxmlformats.org/officeDocument/2006/relationships/hyperlink" Target="https://info.astahealthcare.com/personnel" TargetMode="External"/><Relationship Id="rId19" Type="http://schemas.openxmlformats.org/officeDocument/2006/relationships/hyperlink" Target="https://info.astahealthcare.com/personnel" TargetMode="External"/><Relationship Id="rId31" Type="http://schemas.openxmlformats.org/officeDocument/2006/relationships/hyperlink" Target="https://info.astahealthcare.com/personnel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info.astahealthcare.com/personnel" TargetMode="External"/><Relationship Id="rId9" Type="http://schemas.openxmlformats.org/officeDocument/2006/relationships/hyperlink" Target="https://info.astahealthcare.com/personnel" TargetMode="External"/><Relationship Id="rId14" Type="http://schemas.openxmlformats.org/officeDocument/2006/relationships/hyperlink" Target="https://info.astahealthcare.com/personnel" TargetMode="External"/><Relationship Id="rId22" Type="http://schemas.openxmlformats.org/officeDocument/2006/relationships/hyperlink" Target="https://info.astahealthcare.com/personnel" TargetMode="External"/><Relationship Id="rId27" Type="http://schemas.openxmlformats.org/officeDocument/2006/relationships/hyperlink" Target="https://info.astahealthcare.com/personnel" TargetMode="External"/><Relationship Id="rId30" Type="http://schemas.openxmlformats.org/officeDocument/2006/relationships/hyperlink" Target="https://info.astahealthcare.com/personnel" TargetMode="External"/><Relationship Id="rId35" Type="http://schemas.openxmlformats.org/officeDocument/2006/relationships/hyperlink" Target="https://info.astahealthcare.com/personnel" TargetMode="External"/><Relationship Id="rId43" Type="http://schemas.openxmlformats.org/officeDocument/2006/relationships/hyperlink" Target="https://info.astahealthcare.com/personnel" TargetMode="External"/><Relationship Id="rId8" Type="http://schemas.openxmlformats.org/officeDocument/2006/relationships/hyperlink" Target="https://info.astahealthcare.com/personnel" TargetMode="External"/><Relationship Id="rId3" Type="http://schemas.openxmlformats.org/officeDocument/2006/relationships/hyperlink" Target="https://info.astahealthcare.com/personnel" TargetMode="External"/><Relationship Id="rId12" Type="http://schemas.openxmlformats.org/officeDocument/2006/relationships/hyperlink" Target="https://info.astahealthcare.com/personnel" TargetMode="External"/><Relationship Id="rId17" Type="http://schemas.openxmlformats.org/officeDocument/2006/relationships/hyperlink" Target="https://info.astahealthcare.com/personnel" TargetMode="External"/><Relationship Id="rId25" Type="http://schemas.openxmlformats.org/officeDocument/2006/relationships/hyperlink" Target="https://info.astahealthcare.com/personnel" TargetMode="External"/><Relationship Id="rId33" Type="http://schemas.openxmlformats.org/officeDocument/2006/relationships/hyperlink" Target="https://info.astahealthcare.com/personnel" TargetMode="External"/><Relationship Id="rId38" Type="http://schemas.openxmlformats.org/officeDocument/2006/relationships/hyperlink" Target="https://info.astahealthcare.com/personnel" TargetMode="External"/><Relationship Id="rId46" Type="http://schemas.openxmlformats.org/officeDocument/2006/relationships/comments" Target="../comments1.xml"/><Relationship Id="rId20" Type="http://schemas.openxmlformats.org/officeDocument/2006/relationships/hyperlink" Target="https://info.astahealthcare.com/personnel" TargetMode="External"/><Relationship Id="rId41" Type="http://schemas.openxmlformats.org/officeDocument/2006/relationships/hyperlink" Target="https://info.astahealthcare.com/personne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J180"/>
  <sheetViews>
    <sheetView tabSelected="1" zoomScale="80" zoomScaleNormal="80" zoomScaleSheetLayoutView="100" workbookViewId="0">
      <pane xSplit="2" ySplit="12" topLeftCell="N13" activePane="bottomRight" state="frozen"/>
      <selection pane="topRight" activeCell="C1" sqref="C1"/>
      <selection pane="bottomLeft" activeCell="A12" sqref="A12"/>
      <selection pane="bottomRight" activeCell="AF13" sqref="AF13"/>
    </sheetView>
  </sheetViews>
  <sheetFormatPr defaultRowHeight="15" x14ac:dyDescent="0.25"/>
  <cols>
    <col min="1" max="1" width="6.42578125" style="1" customWidth="1"/>
    <col min="2" max="2" width="23.7109375" style="1" bestFit="1" customWidth="1"/>
    <col min="3" max="3" width="23.7109375" style="1" customWidth="1"/>
    <col min="4" max="4" width="15" style="1" customWidth="1"/>
    <col min="5" max="5" width="10.28515625" style="1" bestFit="1" customWidth="1"/>
    <col min="6" max="6" width="8.140625" style="1" customWidth="1"/>
    <col min="7" max="7" width="13" style="1" customWidth="1"/>
    <col min="8" max="8" width="13.5703125" style="1" customWidth="1"/>
    <col min="9" max="9" width="3.28515625" style="1" hidden="1" customWidth="1"/>
    <col min="10" max="10" width="3.5703125" style="1" hidden="1" customWidth="1"/>
    <col min="11" max="11" width="14" style="1" bestFit="1" customWidth="1"/>
    <col min="12" max="13" width="8.85546875" style="1" bestFit="1" customWidth="1"/>
    <col min="14" max="14" width="11.7109375" style="1" bestFit="1" customWidth="1"/>
    <col min="15" max="15" width="12.5703125" style="1" customWidth="1"/>
    <col min="16" max="16" width="13.28515625" style="1" customWidth="1"/>
    <col min="17" max="17" width="13.140625" style="1" customWidth="1"/>
    <col min="18" max="18" width="8.5703125" style="1" customWidth="1"/>
    <col min="19" max="19" width="11.140625" style="4" hidden="1" customWidth="1"/>
    <col min="20" max="20" width="15.7109375" style="1" bestFit="1" customWidth="1"/>
    <col min="21" max="21" width="5.85546875" style="1" bestFit="1" customWidth="1"/>
    <col min="22" max="22" width="11.7109375" style="1" customWidth="1"/>
    <col min="23" max="23" width="17.85546875" style="1" customWidth="1"/>
    <col min="24" max="24" width="15" style="1" customWidth="1"/>
    <col min="25" max="25" width="5.28515625" style="110" customWidth="1"/>
    <col min="26" max="26" width="14.5703125" style="1" customWidth="1"/>
    <col min="27" max="27" width="13.5703125" style="1" customWidth="1"/>
    <col min="28" max="28" width="14.7109375" style="1" customWidth="1"/>
    <col min="29" max="30" width="12.42578125" style="1" customWidth="1"/>
    <col min="31" max="31" width="15" style="1" customWidth="1"/>
    <col min="32" max="32" width="15.28515625" style="1" customWidth="1"/>
    <col min="33" max="33" width="13.85546875" style="1" customWidth="1"/>
    <col min="34" max="34" width="7.85546875" style="1" customWidth="1"/>
    <col min="35" max="35" width="9.140625" style="1"/>
    <col min="36" max="36" width="40.7109375" style="19" customWidth="1"/>
    <col min="37" max="16384" width="9.140625" style="1"/>
  </cols>
  <sheetData>
    <row r="1" spans="1:36" x14ac:dyDescent="0.25">
      <c r="A1" s="2" t="s">
        <v>0</v>
      </c>
    </row>
    <row r="2" spans="1:36" x14ac:dyDescent="0.25">
      <c r="A2" s="2" t="s">
        <v>1</v>
      </c>
    </row>
    <row r="3" spans="1:36" x14ac:dyDescent="0.25">
      <c r="A3" s="2" t="s">
        <v>2</v>
      </c>
      <c r="AA3" s="5" t="s">
        <v>432</v>
      </c>
    </row>
    <row r="4" spans="1:36" x14ac:dyDescent="0.25">
      <c r="A4" s="2" t="s">
        <v>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4"/>
      <c r="U4" s="4"/>
      <c r="V4" s="4"/>
    </row>
    <row r="5" spans="1:36" ht="31.5" customHeight="1" x14ac:dyDescent="0.3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215" t="s">
        <v>4</v>
      </c>
      <c r="P5" s="215"/>
      <c r="Q5" s="215"/>
      <c r="R5" s="215"/>
      <c r="S5" s="215"/>
      <c r="T5" s="215"/>
      <c r="U5" s="215"/>
      <c r="V5" s="215"/>
      <c r="W5" s="8"/>
      <c r="X5" s="8"/>
      <c r="Y5" s="173"/>
      <c r="Z5" s="8"/>
      <c r="AA5" s="8"/>
      <c r="AB5" s="8"/>
      <c r="AC5" s="8"/>
      <c r="AD5" s="8"/>
      <c r="AE5" s="8"/>
      <c r="AF5" s="8"/>
      <c r="AG5" s="8"/>
      <c r="AH5" s="8"/>
    </row>
    <row r="6" spans="1:36" ht="26.25" customHeight="1" x14ac:dyDescent="0.3"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216" t="s">
        <v>431</v>
      </c>
      <c r="P6" s="216"/>
      <c r="Q6" s="216"/>
      <c r="R6" s="216"/>
      <c r="S6" s="216"/>
      <c r="T6" s="216"/>
      <c r="U6" s="216"/>
      <c r="V6" s="216"/>
      <c r="W6" s="10"/>
      <c r="X6" s="10"/>
      <c r="Y6" s="174"/>
      <c r="Z6" s="10"/>
      <c r="AA6" s="10"/>
      <c r="AB6" s="10"/>
      <c r="AC6" s="10"/>
      <c r="AD6" s="10"/>
      <c r="AE6" s="10"/>
      <c r="AF6" s="10"/>
      <c r="AG6" s="10"/>
      <c r="AH6" s="10"/>
    </row>
    <row r="7" spans="1:36" ht="15.75" x14ac:dyDescent="0.25">
      <c r="A7" s="2"/>
      <c r="B7" s="2"/>
      <c r="C7" s="2"/>
      <c r="D7" s="2"/>
      <c r="E7" s="2"/>
      <c r="F7" s="2"/>
      <c r="G7" s="12"/>
      <c r="H7" s="2"/>
      <c r="I7" s="217"/>
      <c r="J7" s="217"/>
      <c r="K7" s="2"/>
      <c r="L7" s="2"/>
      <c r="M7" s="2"/>
      <c r="N7" s="2"/>
      <c r="O7" s="2"/>
      <c r="P7" s="2"/>
      <c r="Q7" s="2"/>
      <c r="R7" s="2"/>
      <c r="S7" s="13"/>
      <c r="T7" s="2"/>
      <c r="U7" s="2"/>
      <c r="V7" s="2"/>
      <c r="W7" s="2"/>
      <c r="X7" s="2"/>
      <c r="Y7" s="175"/>
      <c r="Z7" s="2"/>
      <c r="AA7" s="2"/>
      <c r="AB7" s="14" t="s">
        <v>5</v>
      </c>
      <c r="AC7" s="2"/>
      <c r="AD7" s="2"/>
    </row>
    <row r="8" spans="1:36" s="3" customFormat="1" x14ac:dyDescent="0.25">
      <c r="B8" s="1">
        <v>1</v>
      </c>
      <c r="C8" s="1"/>
      <c r="D8" s="3">
        <v>2</v>
      </c>
      <c r="E8" s="169">
        <v>3</v>
      </c>
      <c r="F8" s="3">
        <v>4</v>
      </c>
      <c r="G8" s="169">
        <v>5</v>
      </c>
      <c r="H8" s="3">
        <v>6</v>
      </c>
      <c r="I8" s="169">
        <v>7</v>
      </c>
      <c r="J8" s="3">
        <v>8</v>
      </c>
      <c r="K8" s="169">
        <v>9</v>
      </c>
      <c r="L8" s="3">
        <v>10</v>
      </c>
      <c r="M8" s="169">
        <v>11</v>
      </c>
      <c r="N8" s="3">
        <v>12</v>
      </c>
      <c r="O8" s="169">
        <v>13</v>
      </c>
      <c r="P8" s="3">
        <v>14</v>
      </c>
      <c r="Q8" s="169">
        <v>15</v>
      </c>
      <c r="R8" s="3">
        <v>16</v>
      </c>
      <c r="S8" s="169">
        <v>17</v>
      </c>
      <c r="T8" s="3">
        <v>18</v>
      </c>
      <c r="U8" s="169">
        <v>19</v>
      </c>
      <c r="V8" s="3">
        <v>20</v>
      </c>
      <c r="W8" s="169">
        <v>21</v>
      </c>
      <c r="X8" s="3">
        <v>22</v>
      </c>
      <c r="Y8" s="169">
        <v>23</v>
      </c>
      <c r="Z8" s="3">
        <v>24</v>
      </c>
      <c r="AA8" s="169">
        <v>25</v>
      </c>
      <c r="AB8" s="3">
        <v>26</v>
      </c>
      <c r="AC8" s="169">
        <v>27</v>
      </c>
      <c r="AD8" s="3">
        <v>28</v>
      </c>
      <c r="AE8" s="169">
        <v>29</v>
      </c>
      <c r="AF8" s="3">
        <v>30</v>
      </c>
      <c r="AG8" s="169">
        <v>31</v>
      </c>
      <c r="AH8" s="3">
        <v>32</v>
      </c>
      <c r="AI8" s="169">
        <v>33</v>
      </c>
      <c r="AJ8" s="165"/>
    </row>
    <row r="9" spans="1:36" ht="58.5" customHeight="1" x14ac:dyDescent="0.25">
      <c r="A9" s="204" t="s">
        <v>6</v>
      </c>
      <c r="B9" s="199" t="s">
        <v>7</v>
      </c>
      <c r="C9" s="199" t="s">
        <v>459</v>
      </c>
      <c r="D9" s="199" t="s">
        <v>8</v>
      </c>
      <c r="E9" s="199" t="s">
        <v>9</v>
      </c>
      <c r="F9" s="199" t="s">
        <v>10</v>
      </c>
      <c r="G9" s="218" t="s">
        <v>11</v>
      </c>
      <c r="H9" s="218" t="s">
        <v>12</v>
      </c>
      <c r="I9" s="204" t="s">
        <v>13</v>
      </c>
      <c r="J9" s="204"/>
      <c r="K9" s="204"/>
      <c r="L9" s="204"/>
      <c r="M9" s="204"/>
      <c r="N9" s="204"/>
      <c r="O9" s="204"/>
      <c r="P9" s="199" t="s">
        <v>14</v>
      </c>
      <c r="Q9" s="199" t="s">
        <v>15</v>
      </c>
      <c r="R9" s="199" t="s">
        <v>16</v>
      </c>
      <c r="S9" s="219" t="s">
        <v>433</v>
      </c>
      <c r="T9" s="205" t="s">
        <v>17</v>
      </c>
      <c r="U9" s="202" t="s">
        <v>18</v>
      </c>
      <c r="V9" s="203"/>
      <c r="W9" s="199" t="s">
        <v>19</v>
      </c>
      <c r="X9" s="204" t="s">
        <v>20</v>
      </c>
      <c r="Y9" s="204"/>
      <c r="Z9" s="204"/>
      <c r="AA9" s="204"/>
      <c r="AB9" s="199" t="s">
        <v>21</v>
      </c>
      <c r="AC9" s="212" t="s">
        <v>22</v>
      </c>
      <c r="AD9" s="212" t="s">
        <v>23</v>
      </c>
      <c r="AE9" s="195" t="s">
        <v>24</v>
      </c>
      <c r="AF9" s="197" t="s">
        <v>25</v>
      </c>
      <c r="AG9" s="199" t="s">
        <v>26</v>
      </c>
      <c r="AH9" s="201" t="s">
        <v>27</v>
      </c>
      <c r="AI9" s="210" t="s">
        <v>28</v>
      </c>
      <c r="AJ9" s="206" t="s">
        <v>29</v>
      </c>
    </row>
    <row r="10" spans="1:36" ht="50.25" customHeight="1" x14ac:dyDescent="0.25">
      <c r="A10" s="195"/>
      <c r="B10" s="200"/>
      <c r="C10" s="200"/>
      <c r="D10" s="200"/>
      <c r="E10" s="200"/>
      <c r="F10" s="196"/>
      <c r="G10" s="199"/>
      <c r="H10" s="199"/>
      <c r="I10" s="16" t="s">
        <v>30</v>
      </c>
      <c r="J10" s="15" t="s">
        <v>31</v>
      </c>
      <c r="K10" s="15" t="s">
        <v>32</v>
      </c>
      <c r="L10" s="15" t="s">
        <v>33</v>
      </c>
      <c r="M10" s="16" t="s">
        <v>34</v>
      </c>
      <c r="N10" s="16" t="s">
        <v>35</v>
      </c>
      <c r="O10" s="16" t="s">
        <v>36</v>
      </c>
      <c r="P10" s="200"/>
      <c r="Q10" s="200"/>
      <c r="R10" s="196"/>
      <c r="S10" s="220"/>
      <c r="T10" s="205"/>
      <c r="U10" s="16" t="s">
        <v>30</v>
      </c>
      <c r="V10" s="16" t="s">
        <v>35</v>
      </c>
      <c r="W10" s="196"/>
      <c r="X10" s="18" t="s">
        <v>37</v>
      </c>
      <c r="Y10" s="17" t="s">
        <v>38</v>
      </c>
      <c r="Z10" s="17" t="s">
        <v>39</v>
      </c>
      <c r="AA10" s="17" t="s">
        <v>40</v>
      </c>
      <c r="AB10" s="196"/>
      <c r="AC10" s="213"/>
      <c r="AD10" s="214"/>
      <c r="AE10" s="196"/>
      <c r="AF10" s="198"/>
      <c r="AG10" s="200"/>
      <c r="AH10" s="201"/>
      <c r="AI10" s="211"/>
      <c r="AJ10" s="206"/>
    </row>
    <row r="11" spans="1:36" x14ac:dyDescent="0.25">
      <c r="A11" s="1">
        <v>2</v>
      </c>
      <c r="B11" s="1">
        <v>3</v>
      </c>
      <c r="D11" s="1">
        <v>4</v>
      </c>
      <c r="E11" s="1">
        <v>5</v>
      </c>
      <c r="F11" s="1">
        <v>6</v>
      </c>
      <c r="G11" s="1">
        <v>7</v>
      </c>
      <c r="H11" s="1">
        <v>8</v>
      </c>
      <c r="I11" s="1">
        <v>9</v>
      </c>
      <c r="J11" s="1">
        <v>10</v>
      </c>
      <c r="K11" s="1">
        <v>11</v>
      </c>
      <c r="L11" s="1">
        <v>12</v>
      </c>
      <c r="M11" s="1">
        <v>13</v>
      </c>
      <c r="N11" s="1">
        <v>14</v>
      </c>
      <c r="O11" s="1">
        <v>15</v>
      </c>
      <c r="P11" s="1">
        <v>16</v>
      </c>
      <c r="Q11" s="1">
        <v>17</v>
      </c>
      <c r="R11" s="1">
        <v>18</v>
      </c>
      <c r="T11" s="1">
        <v>20</v>
      </c>
      <c r="U11" s="1">
        <v>21</v>
      </c>
      <c r="V11" s="1">
        <v>22</v>
      </c>
      <c r="W11" s="1">
        <v>23</v>
      </c>
      <c r="X11" s="1">
        <v>24</v>
      </c>
      <c r="Y11" s="110">
        <v>25</v>
      </c>
      <c r="Z11" s="1">
        <v>26</v>
      </c>
      <c r="AA11" s="1">
        <v>27</v>
      </c>
      <c r="AB11" s="1">
        <v>29</v>
      </c>
      <c r="AC11" s="1">
        <v>30</v>
      </c>
      <c r="AE11" s="1">
        <v>31</v>
      </c>
      <c r="AF11" s="1">
        <v>32</v>
      </c>
      <c r="AG11" s="1">
        <v>33</v>
      </c>
      <c r="AH11" s="1">
        <v>34</v>
      </c>
      <c r="AI11" s="1">
        <v>35</v>
      </c>
      <c r="AJ11" s="19">
        <v>36</v>
      </c>
    </row>
    <row r="12" spans="1:36" s="19" customFormat="1" ht="23.25" customHeight="1" x14ac:dyDescent="0.25">
      <c r="A12" s="20" t="s">
        <v>41</v>
      </c>
      <c r="B12" s="189"/>
      <c r="C12" s="189"/>
      <c r="D12" s="40"/>
      <c r="E12" s="158"/>
      <c r="F12" s="159"/>
      <c r="G12" s="21">
        <f>+SUBTOTAL(9,G13:G15)</f>
        <v>15000000</v>
      </c>
      <c r="H12" s="21">
        <f t="shared" ref="H12:AI12" si="0">+SUBTOTAL(9,H13:H15)</f>
        <v>12500000</v>
      </c>
      <c r="I12" s="21">
        <f t="shared" si="0"/>
        <v>0</v>
      </c>
      <c r="J12" s="21">
        <f t="shared" si="0"/>
        <v>0</v>
      </c>
      <c r="K12" s="21">
        <f t="shared" si="0"/>
        <v>3000000</v>
      </c>
      <c r="L12" s="21">
        <f t="shared" si="0"/>
        <v>0</v>
      </c>
      <c r="M12" s="21">
        <f t="shared" si="0"/>
        <v>0</v>
      </c>
      <c r="N12" s="21">
        <f t="shared" si="0"/>
        <v>0</v>
      </c>
      <c r="O12" s="21">
        <f t="shared" si="0"/>
        <v>3500000</v>
      </c>
      <c r="P12" s="21">
        <f t="shared" si="0"/>
        <v>6500000</v>
      </c>
      <c r="Q12" s="21">
        <f t="shared" si="0"/>
        <v>178500000</v>
      </c>
      <c r="R12" s="21">
        <f t="shared" si="0"/>
        <v>72</v>
      </c>
      <c r="S12" s="21">
        <f t="shared" si="0"/>
        <v>0</v>
      </c>
      <c r="T12" s="21">
        <f t="shared" si="0"/>
        <v>200000000</v>
      </c>
      <c r="U12" s="21">
        <f t="shared" si="0"/>
        <v>0</v>
      </c>
      <c r="V12" s="21">
        <f t="shared" si="0"/>
        <v>0</v>
      </c>
      <c r="W12" s="21">
        <f t="shared" si="0"/>
        <v>200000000</v>
      </c>
      <c r="X12" s="21">
        <f t="shared" si="0"/>
        <v>33000000</v>
      </c>
      <c r="Y12" s="21">
        <f t="shared" si="0"/>
        <v>7</v>
      </c>
      <c r="Z12" s="21">
        <f t="shared" si="0"/>
        <v>30800000</v>
      </c>
      <c r="AA12" s="21">
        <f t="shared" si="0"/>
        <v>1312500</v>
      </c>
      <c r="AB12" s="21">
        <f t="shared" si="0"/>
        <v>135317500</v>
      </c>
      <c r="AC12" s="21">
        <f t="shared" si="0"/>
        <v>29801125</v>
      </c>
      <c r="AD12" s="21">
        <f t="shared" si="0"/>
        <v>175000</v>
      </c>
      <c r="AE12" s="21">
        <f t="shared" si="0"/>
        <v>168711375</v>
      </c>
      <c r="AF12" s="21">
        <f t="shared" si="0"/>
        <v>131360000</v>
      </c>
      <c r="AG12" s="21">
        <f t="shared" si="0"/>
        <v>37351375</v>
      </c>
      <c r="AH12" s="21">
        <f t="shared" si="0"/>
        <v>0</v>
      </c>
      <c r="AI12" s="21">
        <f t="shared" si="0"/>
        <v>2</v>
      </c>
      <c r="AJ12" s="22"/>
    </row>
    <row r="13" spans="1:36" ht="30.75" customHeight="1" x14ac:dyDescent="0.25">
      <c r="A13" s="23">
        <v>1</v>
      </c>
      <c r="B13" s="172" t="s">
        <v>42</v>
      </c>
      <c r="C13" s="191" t="s">
        <v>460</v>
      </c>
      <c r="D13" s="25" t="s">
        <v>43</v>
      </c>
      <c r="E13" s="26" t="s">
        <v>44</v>
      </c>
      <c r="F13" s="27">
        <v>24</v>
      </c>
      <c r="G13" s="28">
        <v>5000000</v>
      </c>
      <c r="H13" s="28">
        <f>+G13+O13</f>
        <v>6500000</v>
      </c>
      <c r="I13" s="28"/>
      <c r="J13" s="28"/>
      <c r="K13" s="28">
        <v>1000000</v>
      </c>
      <c r="L13" s="28">
        <v>0</v>
      </c>
      <c r="M13" s="28"/>
      <c r="N13" s="28"/>
      <c r="O13" s="28">
        <v>1500000</v>
      </c>
      <c r="P13" s="28">
        <f>SUM(I13:O13)</f>
        <v>2500000</v>
      </c>
      <c r="Q13" s="28">
        <f>120000000-G13-P13</f>
        <v>112500000</v>
      </c>
      <c r="R13" s="27">
        <v>24</v>
      </c>
      <c r="S13" s="29"/>
      <c r="T13" s="30">
        <f>ROUND((G13+P13+Q13)/F13*R13,0)</f>
        <v>120000000</v>
      </c>
      <c r="U13" s="28">
        <f>+I13</f>
        <v>0</v>
      </c>
      <c r="V13" s="28">
        <f>+N13</f>
        <v>0</v>
      </c>
      <c r="W13" s="28">
        <f>+T13-U13-V13</f>
        <v>120000000</v>
      </c>
      <c r="X13" s="28">
        <v>11000000</v>
      </c>
      <c r="Y13" s="30">
        <v>4</v>
      </c>
      <c r="Z13" s="28">
        <f>4400000*Y13</f>
        <v>17600000</v>
      </c>
      <c r="AA13" s="28">
        <f>ROUND(H13*10.5%,0)</f>
        <v>682500</v>
      </c>
      <c r="AB13" s="31">
        <f>+IF(W13-X13-Z13-AA13&gt;0,W13-X13-Z13-AA13,0)</f>
        <v>90717500</v>
      </c>
      <c r="AC13" s="32">
        <f>ROUND(IF(AB13&gt;80000000,AB13*35%-9850000,IF(AB13&gt;52000000,AB13*30%-5850000,IF(AB13&gt;32000000,AB13*25%-3250000,IF(AB13&gt;18000000,AB13*20%-1650000,IF(AB13&gt;10000000,AB13*15%-750000,IF(AB13&gt;5000000,AB13*10%-250000,IF(AB13&gt;0,AB13*5%,0))))))),0)</f>
        <v>21901125</v>
      </c>
      <c r="AD13" s="32">
        <f>ROUND(H13*1%,0)</f>
        <v>65000</v>
      </c>
      <c r="AE13" s="28">
        <f>ROUND(T13-AA13-AC13-AD13,0)</f>
        <v>97351375</v>
      </c>
      <c r="AF13" s="186">
        <v>60000000</v>
      </c>
      <c r="AG13" s="33">
        <f>+AE13-AF13</f>
        <v>37351375</v>
      </c>
      <c r="AH13" s="28"/>
      <c r="AI13" s="33">
        <f>+IF(AC13&gt;0,1,0)</f>
        <v>1</v>
      </c>
      <c r="AJ13" s="166" t="s">
        <v>45</v>
      </c>
    </row>
    <row r="14" spans="1:36" ht="30.75" customHeight="1" x14ac:dyDescent="0.25">
      <c r="A14" s="23">
        <v>2</v>
      </c>
      <c r="B14" s="171" t="s">
        <v>46</v>
      </c>
      <c r="C14" s="171" t="s">
        <v>461</v>
      </c>
      <c r="D14" s="26" t="s">
        <v>47</v>
      </c>
      <c r="E14" s="26" t="s">
        <v>44</v>
      </c>
      <c r="F14" s="27">
        <v>24</v>
      </c>
      <c r="G14" s="34">
        <v>5000000</v>
      </c>
      <c r="H14" s="28">
        <f>+G14+O14</f>
        <v>6000000</v>
      </c>
      <c r="I14" s="28"/>
      <c r="J14" s="28"/>
      <c r="K14" s="28">
        <v>1000000</v>
      </c>
      <c r="L14" s="28">
        <v>0</v>
      </c>
      <c r="M14" s="28"/>
      <c r="N14" s="28"/>
      <c r="O14" s="28">
        <v>1000000</v>
      </c>
      <c r="P14" s="28">
        <f>SUM(I14:O14)</f>
        <v>2000000</v>
      </c>
      <c r="Q14" s="28">
        <f>20000000-G14-P14</f>
        <v>13000000</v>
      </c>
      <c r="R14" s="27">
        <v>24</v>
      </c>
      <c r="S14" s="29"/>
      <c r="T14" s="30">
        <f>ROUND((G14+P14+Q14)/F14*R14,0)</f>
        <v>20000000</v>
      </c>
      <c r="U14" s="28">
        <f>+I14</f>
        <v>0</v>
      </c>
      <c r="V14" s="28">
        <f>+N14</f>
        <v>0</v>
      </c>
      <c r="W14" s="28">
        <f>+T14-U14-V14</f>
        <v>20000000</v>
      </c>
      <c r="X14" s="28">
        <v>11000000</v>
      </c>
      <c r="Y14" s="30">
        <v>2</v>
      </c>
      <c r="Z14" s="28">
        <f>4400000*Y14</f>
        <v>8800000</v>
      </c>
      <c r="AA14" s="28">
        <f>ROUND(H14*10.5%,0)</f>
        <v>630000</v>
      </c>
      <c r="AB14" s="31">
        <f>+IF(W14-X14-Z14-AA14&gt;0,W14-X14-Z14-AA14,0)</f>
        <v>0</v>
      </c>
      <c r="AC14" s="32">
        <f>ROUND(IF(AB14&gt;80000000,AB14*35%-9850000,IF(AB14&gt;52000000,AB14*30%-5850000,IF(AB14&gt;32000000,AB14*25%-3250000,IF(AB14&gt;18000000,AB14*20%-1650000,IF(AB14&gt;10000000,AB14*15%-750000,IF(AB14&gt;5000000,AB14*10%-250000,IF(AB14&gt;0,AB14*5%,0))))))),0)</f>
        <v>0</v>
      </c>
      <c r="AD14" s="32">
        <f>ROUND(H14*1%,0)</f>
        <v>60000</v>
      </c>
      <c r="AE14" s="28">
        <f>ROUND(T14-AA14-AC14-AD14,0)</f>
        <v>19310000</v>
      </c>
      <c r="AF14" s="28">
        <f>+AE14</f>
        <v>19310000</v>
      </c>
      <c r="AG14" s="35">
        <f>+AE14-AF14</f>
        <v>0</v>
      </c>
      <c r="AH14" s="28"/>
      <c r="AI14" s="33">
        <f>+IF(AC14&gt;0,1,0)</f>
        <v>0</v>
      </c>
      <c r="AJ14" s="22" t="s">
        <v>48</v>
      </c>
    </row>
    <row r="15" spans="1:36" ht="30.75" customHeight="1" x14ac:dyDescent="0.25">
      <c r="A15" s="23">
        <v>3</v>
      </c>
      <c r="B15" s="172" t="s">
        <v>394</v>
      </c>
      <c r="C15" s="191"/>
      <c r="D15" s="25" t="s">
        <v>395</v>
      </c>
      <c r="E15" s="26" t="s">
        <v>57</v>
      </c>
      <c r="F15" s="27">
        <v>24</v>
      </c>
      <c r="G15" s="34">
        <v>5000000</v>
      </c>
      <c r="H15" s="28"/>
      <c r="I15" s="28"/>
      <c r="J15" s="28"/>
      <c r="K15" s="28">
        <v>1000000</v>
      </c>
      <c r="L15" s="28"/>
      <c r="M15" s="28"/>
      <c r="N15" s="28"/>
      <c r="O15" s="28">
        <v>1000000</v>
      </c>
      <c r="P15" s="28">
        <f>SUM(I15:O15)</f>
        <v>2000000</v>
      </c>
      <c r="Q15" s="28">
        <f>60000000-G15-P15</f>
        <v>53000000</v>
      </c>
      <c r="R15" s="27">
        <v>24</v>
      </c>
      <c r="S15" s="29"/>
      <c r="T15" s="30">
        <f>ROUND((G15+P15+Q15)/F15*R15,0)</f>
        <v>60000000</v>
      </c>
      <c r="U15" s="28"/>
      <c r="V15" s="28"/>
      <c r="W15" s="28">
        <f>+T15-U15-V15</f>
        <v>60000000</v>
      </c>
      <c r="X15" s="28">
        <v>11000000</v>
      </c>
      <c r="Y15" s="30">
        <v>1</v>
      </c>
      <c r="Z15" s="28">
        <f>4400000*Y15</f>
        <v>4400000</v>
      </c>
      <c r="AA15" s="28">
        <f>ROUND(H15*10.5%,0)</f>
        <v>0</v>
      </c>
      <c r="AB15" s="31">
        <f>+IF(W15-X15-Z15-AA15&gt;0,W15-X15-Z15-AA15,0)</f>
        <v>44600000</v>
      </c>
      <c r="AC15" s="32">
        <f>ROUND(IF(AB15&gt;80000000,AB15*35%-9850000,IF(AB15&gt;52000000,AB15*30%-5850000,IF(AB15&gt;32000000,AB15*25%-3250000,IF(AB15&gt;18000000,AB15*20%-1650000,IF(AB15&gt;10000000,AB15*15%-750000,IF(AB15&gt;5000000,AB15*10%-250000,IF(AB15&gt;0,AB15*5%,0))))))),0)</f>
        <v>7900000</v>
      </c>
      <c r="AD15" s="32">
        <f>ROUND(G15*1%,0)</f>
        <v>50000</v>
      </c>
      <c r="AE15" s="28">
        <f>ROUND(T15-AA15-AC15-AD15,0)</f>
        <v>52050000</v>
      </c>
      <c r="AF15" s="28">
        <f>+AE15</f>
        <v>52050000</v>
      </c>
      <c r="AG15" s="35">
        <f>+AE15-AF15</f>
        <v>0</v>
      </c>
      <c r="AH15" s="28"/>
      <c r="AI15" s="33">
        <f>+IF(AC15&gt;0,1,0)</f>
        <v>1</v>
      </c>
      <c r="AJ15" s="166" t="s">
        <v>426</v>
      </c>
    </row>
    <row r="16" spans="1:36" s="19" customFormat="1" ht="23.25" customHeight="1" x14ac:dyDescent="0.25">
      <c r="A16" s="20" t="s">
        <v>49</v>
      </c>
      <c r="B16" s="38"/>
      <c r="C16" s="38"/>
      <c r="D16" s="38"/>
      <c r="E16" s="39"/>
      <c r="F16" s="40"/>
      <c r="G16" s="41">
        <f>+SUBTOTAL(9,G17:G32)</f>
        <v>68920000</v>
      </c>
      <c r="H16" s="41">
        <f t="shared" ref="H16:S16" si="1">+SUBTOTAL(9,H17:H32)</f>
        <v>69920000</v>
      </c>
      <c r="I16" s="41">
        <f t="shared" si="1"/>
        <v>0</v>
      </c>
      <c r="J16" s="41">
        <f t="shared" si="1"/>
        <v>0</v>
      </c>
      <c r="K16" s="41">
        <f t="shared" si="1"/>
        <v>14000000</v>
      </c>
      <c r="L16" s="41">
        <f t="shared" si="1"/>
        <v>0</v>
      </c>
      <c r="M16" s="41">
        <f t="shared" si="1"/>
        <v>0</v>
      </c>
      <c r="N16" s="41">
        <f t="shared" si="1"/>
        <v>0</v>
      </c>
      <c r="O16" s="41">
        <f t="shared" si="1"/>
        <v>1000000</v>
      </c>
      <c r="P16" s="41">
        <f t="shared" si="1"/>
        <v>15000000</v>
      </c>
      <c r="Q16" s="41">
        <f t="shared" si="1"/>
        <v>131580000</v>
      </c>
      <c r="R16" s="41">
        <f t="shared" si="1"/>
        <v>383</v>
      </c>
      <c r="S16" s="41">
        <f t="shared" si="1"/>
        <v>0</v>
      </c>
      <c r="T16" s="41">
        <f t="shared" ref="T16" si="2">+SUBTOTAL(9,T17:T32)</f>
        <v>214958333</v>
      </c>
      <c r="U16" s="41">
        <f t="shared" ref="U16" si="3">+SUBTOTAL(9,U17:U32)</f>
        <v>0</v>
      </c>
      <c r="V16" s="41">
        <f t="shared" ref="V16" si="4">+SUBTOTAL(9,V17:V32)</f>
        <v>0</v>
      </c>
      <c r="W16" s="41">
        <f t="shared" ref="W16" si="5">+SUBTOTAL(9,W17:W32)</f>
        <v>214958333</v>
      </c>
      <c r="X16" s="41">
        <f t="shared" ref="X16" si="6">+SUBTOTAL(9,X17:X32)</f>
        <v>176000000</v>
      </c>
      <c r="Y16" s="41">
        <f t="shared" ref="Y16" si="7">+SUBTOTAL(9,Y17:Y32)</f>
        <v>7</v>
      </c>
      <c r="Z16" s="41">
        <f t="shared" ref="Z16" si="8">+SUBTOTAL(9,Z17:Z32)</f>
        <v>30800000</v>
      </c>
      <c r="AA16" s="41">
        <f t="shared" ref="AA16" si="9">+SUBTOTAL(9,AA17:AA32)</f>
        <v>7341600</v>
      </c>
      <c r="AB16" s="41">
        <f t="shared" ref="AB16" si="10">+SUBTOTAL(9,AB17:AB32)</f>
        <v>40434333</v>
      </c>
      <c r="AC16" s="41">
        <f t="shared" ref="AC16" si="11">+SUBTOTAL(9,AC17:AC32)</f>
        <v>4294717</v>
      </c>
      <c r="AD16" s="41">
        <f t="shared" ref="AD16:AE16" si="12">+SUBTOTAL(9,AD17:AD32)</f>
        <v>699200</v>
      </c>
      <c r="AE16" s="41">
        <f t="shared" si="12"/>
        <v>202622816</v>
      </c>
      <c r="AF16" s="41">
        <f t="shared" ref="AF16" si="13">+SUBTOTAL(9,AF17:AF32)</f>
        <v>191696816</v>
      </c>
      <c r="AG16" s="41">
        <f t="shared" ref="AG16" si="14">+SUBTOTAL(9,AG17:AG32)</f>
        <v>10926000</v>
      </c>
      <c r="AH16" s="41">
        <f t="shared" ref="AH16" si="15">+SUBTOTAL(9,AH17:AH32)</f>
        <v>0</v>
      </c>
      <c r="AI16" s="41">
        <f t="shared" ref="AI16" si="16">+SUBTOTAL(9,AI17:AI32)</f>
        <v>6</v>
      </c>
      <c r="AJ16" s="22"/>
    </row>
    <row r="17" spans="1:36" s="19" customFormat="1" ht="27.75" customHeight="1" x14ac:dyDescent="0.25">
      <c r="A17" s="23">
        <v>4</v>
      </c>
      <c r="B17" s="172" t="s">
        <v>50</v>
      </c>
      <c r="C17" s="191" t="s">
        <v>462</v>
      </c>
      <c r="D17" s="42" t="s">
        <v>51</v>
      </c>
      <c r="E17" s="26" t="s">
        <v>44</v>
      </c>
      <c r="F17" s="27">
        <v>24</v>
      </c>
      <c r="G17" s="28">
        <v>5000000</v>
      </c>
      <c r="H17" s="28">
        <f t="shared" ref="H17:H29" si="17">+G17+O17</f>
        <v>5000000</v>
      </c>
      <c r="I17" s="28"/>
      <c r="J17" s="28"/>
      <c r="K17" s="28">
        <v>1000000</v>
      </c>
      <c r="L17" s="28">
        <v>0</v>
      </c>
      <c r="M17" s="28"/>
      <c r="N17" s="28"/>
      <c r="O17" s="28"/>
      <c r="P17" s="28">
        <f t="shared" ref="P17:P28" si="18">SUM(I17:O17)</f>
        <v>1000000</v>
      </c>
      <c r="Q17" s="28">
        <f>13500000-G17-P17</f>
        <v>7500000</v>
      </c>
      <c r="R17" s="27">
        <v>24</v>
      </c>
      <c r="S17" s="29"/>
      <c r="T17" s="30">
        <f t="shared" ref="T17:T28" si="19">ROUND((G17+P17+Q17)/F17*R17,0)</f>
        <v>13500000</v>
      </c>
      <c r="U17" s="28">
        <f t="shared" ref="U17:U28" si="20">+I17</f>
        <v>0</v>
      </c>
      <c r="V17" s="28">
        <f t="shared" ref="V17:V28" si="21">+N17</f>
        <v>0</v>
      </c>
      <c r="W17" s="28">
        <f t="shared" ref="W17:W28" si="22">+T17-U17-V17</f>
        <v>13500000</v>
      </c>
      <c r="X17" s="28">
        <v>11000000</v>
      </c>
      <c r="Y17" s="30">
        <v>2</v>
      </c>
      <c r="Z17" s="28">
        <f>4400000*Y17</f>
        <v>8800000</v>
      </c>
      <c r="AA17" s="28">
        <f t="shared" ref="AA17:AA29" si="23">ROUND(H17*10.5%,0)</f>
        <v>525000</v>
      </c>
      <c r="AB17" s="31">
        <f>+IF(W17-X17-Z17-AA17&gt;0,W17-X17-Z17-AA17,0)</f>
        <v>0</v>
      </c>
      <c r="AC17" s="32">
        <f>ROUND(IF(AB17&gt;80000000,AB17*35%-9850000,IF(AB17&gt;52000000,AB17*30%-5850000,IF(AB17&gt;32000000,AB17*25%-3250000,IF(AB17&gt;18000000,AB17*20%-1650000,IF(AB17&gt;10000000,AB17*15%-750000,IF(AB17&gt;5000000,AB17*10%-250000,IF(AB17&gt;0,AB17*5%,0))))))),0)</f>
        <v>0</v>
      </c>
      <c r="AD17" s="32">
        <f>ROUND(H17*1%,0)</f>
        <v>50000</v>
      </c>
      <c r="AE17" s="28">
        <f t="shared" ref="AE17:AE29" si="24">ROUND(T17-AA17-AC17-AD17,0)</f>
        <v>12925000</v>
      </c>
      <c r="AF17" s="28">
        <f t="shared" ref="AF17:AF21" si="25">+AE17</f>
        <v>12925000</v>
      </c>
      <c r="AG17" s="35">
        <f t="shared" ref="AG17:AG71" si="26">+AE17-AF17</f>
        <v>0</v>
      </c>
      <c r="AH17" s="28"/>
      <c r="AI17" s="33">
        <f t="shared" ref="AI17:AI29" si="27">+IF(AC17&gt;0,1,0)</f>
        <v>0</v>
      </c>
      <c r="AJ17" s="22" t="s">
        <v>52</v>
      </c>
    </row>
    <row r="18" spans="1:36" s="19" customFormat="1" ht="28.5" customHeight="1" x14ac:dyDescent="0.25">
      <c r="A18" s="23">
        <v>5</v>
      </c>
      <c r="B18" s="172" t="s">
        <v>55</v>
      </c>
      <c r="C18" s="191" t="s">
        <v>463</v>
      </c>
      <c r="D18" s="42" t="s">
        <v>51</v>
      </c>
      <c r="E18" s="26" t="s">
        <v>44</v>
      </c>
      <c r="F18" s="27">
        <v>24</v>
      </c>
      <c r="G18" s="28">
        <v>5000000</v>
      </c>
      <c r="H18" s="28">
        <f t="shared" si="17"/>
        <v>5000000</v>
      </c>
      <c r="I18" s="28"/>
      <c r="J18" s="28"/>
      <c r="K18" s="28">
        <v>1000000</v>
      </c>
      <c r="L18" s="28">
        <v>0</v>
      </c>
      <c r="M18" s="27"/>
      <c r="N18" s="27"/>
      <c r="O18" s="28"/>
      <c r="P18" s="28">
        <f t="shared" si="18"/>
        <v>1000000</v>
      </c>
      <c r="Q18" s="28">
        <f>10500000-G18-P18</f>
        <v>4500000</v>
      </c>
      <c r="R18" s="27">
        <v>24</v>
      </c>
      <c r="S18" s="29"/>
      <c r="T18" s="30">
        <f t="shared" si="19"/>
        <v>10500000</v>
      </c>
      <c r="U18" s="28">
        <f t="shared" si="20"/>
        <v>0</v>
      </c>
      <c r="V18" s="28">
        <f t="shared" si="21"/>
        <v>0</v>
      </c>
      <c r="W18" s="28">
        <f t="shared" si="22"/>
        <v>10500000</v>
      </c>
      <c r="X18" s="28">
        <v>11000000</v>
      </c>
      <c r="Y18" s="30"/>
      <c r="Z18" s="28"/>
      <c r="AA18" s="28">
        <f t="shared" si="23"/>
        <v>525000</v>
      </c>
      <c r="AB18" s="31">
        <f t="shared" ref="AB18:AB80" si="28">+IF(W18-X18-Z18-AA18&gt;0,W18-X18-Z18-AA18,0)</f>
        <v>0</v>
      </c>
      <c r="AC18" s="32">
        <f t="shared" ref="AC18:AC80" si="29">ROUND(IF(AB18&gt;80000000,AB18*35%-9850000,IF(AB18&gt;52000000,AB18*30%-5850000,IF(AB18&gt;32000000,AB18*25%-3250000,IF(AB18&gt;18000000,AB18*20%-1650000,IF(AB18&gt;10000000,AB18*15%-750000,IF(AB18&gt;5000000,AB18*10%-250000,IF(AB18&gt;0,AB18*5%,0))))))),0)</f>
        <v>0</v>
      </c>
      <c r="AD18" s="32">
        <f t="shared" ref="AD18:AD29" si="30">ROUND(H18*1%,0)</f>
        <v>50000</v>
      </c>
      <c r="AE18" s="28">
        <f t="shared" si="24"/>
        <v>9925000</v>
      </c>
      <c r="AF18" s="28">
        <f t="shared" si="25"/>
        <v>9925000</v>
      </c>
      <c r="AG18" s="35">
        <f t="shared" si="26"/>
        <v>0</v>
      </c>
      <c r="AH18" s="28"/>
      <c r="AI18" s="33">
        <f t="shared" si="27"/>
        <v>0</v>
      </c>
      <c r="AJ18" s="22" t="s">
        <v>56</v>
      </c>
    </row>
    <row r="19" spans="1:36" s="19" customFormat="1" ht="28.5" customHeight="1" x14ac:dyDescent="0.25">
      <c r="A19" s="23">
        <v>6</v>
      </c>
      <c r="B19" s="172" t="s">
        <v>60</v>
      </c>
      <c r="C19" s="191" t="s">
        <v>464</v>
      </c>
      <c r="D19" s="42" t="s">
        <v>51</v>
      </c>
      <c r="E19" s="26" t="s">
        <v>57</v>
      </c>
      <c r="F19" s="27">
        <v>24</v>
      </c>
      <c r="G19" s="28">
        <v>3900000</v>
      </c>
      <c r="H19" s="28">
        <f>+G19+O19</f>
        <v>3900000</v>
      </c>
      <c r="I19" s="28"/>
      <c r="J19" s="28"/>
      <c r="K19" s="28">
        <v>1000000</v>
      </c>
      <c r="L19" s="28">
        <v>0</v>
      </c>
      <c r="M19" s="28"/>
      <c r="N19" s="28"/>
      <c r="O19" s="28"/>
      <c r="P19" s="28">
        <f>SUM(I19:O19)</f>
        <v>1000000</v>
      </c>
      <c r="Q19" s="28">
        <f>5500000-G19-P19</f>
        <v>600000</v>
      </c>
      <c r="R19" s="27">
        <v>24</v>
      </c>
      <c r="S19" s="29"/>
      <c r="T19" s="30">
        <f t="shared" si="19"/>
        <v>5500000</v>
      </c>
      <c r="U19" s="28">
        <f t="shared" si="20"/>
        <v>0</v>
      </c>
      <c r="V19" s="28">
        <f t="shared" si="21"/>
        <v>0</v>
      </c>
      <c r="W19" s="28">
        <f>+T19-U19-V19</f>
        <v>5500000</v>
      </c>
      <c r="X19" s="28">
        <v>11000000</v>
      </c>
      <c r="Y19" s="30"/>
      <c r="Z19" s="28"/>
      <c r="AA19" s="28">
        <f t="shared" si="23"/>
        <v>409500</v>
      </c>
      <c r="AB19" s="31">
        <f>+IF(W19-X19-Z19-AA19&gt;0,W19-X19-Z19-AA19,0)</f>
        <v>0</v>
      </c>
      <c r="AC19" s="32">
        <f>ROUND(IF(AB19&gt;80000000,AB19*35%-9850000,IF(AB19&gt;52000000,AB19*30%-5850000,IF(AB19&gt;32000000,AB19*25%-3250000,IF(AB19&gt;18000000,AB19*20%-1650000,IF(AB19&gt;10000000,AB19*15%-750000,IF(AB19&gt;5000000,AB19*10%-250000,IF(AB19&gt;0,AB19*5%,0))))))),0)</f>
        <v>0</v>
      </c>
      <c r="AD19" s="32">
        <f t="shared" si="30"/>
        <v>39000</v>
      </c>
      <c r="AE19" s="28">
        <f t="shared" si="24"/>
        <v>5051500</v>
      </c>
      <c r="AF19" s="28">
        <f>+AE19</f>
        <v>5051500</v>
      </c>
      <c r="AG19" s="35">
        <f>+AE19-AF19</f>
        <v>0</v>
      </c>
      <c r="AH19" s="28"/>
      <c r="AI19" s="35">
        <f t="shared" si="27"/>
        <v>0</v>
      </c>
      <c r="AJ19" s="43" t="s">
        <v>61</v>
      </c>
    </row>
    <row r="20" spans="1:36" s="19" customFormat="1" ht="28.5" customHeight="1" x14ac:dyDescent="0.25">
      <c r="A20" s="23">
        <v>7</v>
      </c>
      <c r="B20" s="172" t="s">
        <v>62</v>
      </c>
      <c r="C20" s="191" t="s">
        <v>465</v>
      </c>
      <c r="D20" s="42" t="s">
        <v>51</v>
      </c>
      <c r="E20" s="26" t="s">
        <v>57</v>
      </c>
      <c r="F20" s="27">
        <v>24</v>
      </c>
      <c r="G20" s="28">
        <v>3860000</v>
      </c>
      <c r="H20" s="28">
        <f t="shared" si="17"/>
        <v>3860000</v>
      </c>
      <c r="I20" s="28"/>
      <c r="J20" s="28"/>
      <c r="K20" s="28">
        <v>0</v>
      </c>
      <c r="L20" s="28">
        <v>0</v>
      </c>
      <c r="M20" s="28"/>
      <c r="N20" s="28"/>
      <c r="O20" s="28"/>
      <c r="P20" s="28">
        <f t="shared" si="18"/>
        <v>0</v>
      </c>
      <c r="Q20" s="28">
        <f>4500000-G20-P20</f>
        <v>640000</v>
      </c>
      <c r="R20" s="27">
        <v>24</v>
      </c>
      <c r="S20" s="29"/>
      <c r="T20" s="30">
        <f t="shared" si="19"/>
        <v>4500000</v>
      </c>
      <c r="U20" s="28">
        <f t="shared" si="20"/>
        <v>0</v>
      </c>
      <c r="V20" s="28">
        <f t="shared" si="21"/>
        <v>0</v>
      </c>
      <c r="W20" s="28">
        <f t="shared" si="22"/>
        <v>4500000</v>
      </c>
      <c r="X20" s="28">
        <v>11000000</v>
      </c>
      <c r="Y20" s="30"/>
      <c r="Z20" s="28"/>
      <c r="AA20" s="28">
        <f t="shared" si="23"/>
        <v>405300</v>
      </c>
      <c r="AB20" s="31">
        <f t="shared" si="28"/>
        <v>0</v>
      </c>
      <c r="AC20" s="32">
        <f t="shared" si="29"/>
        <v>0</v>
      </c>
      <c r="AD20" s="32">
        <f t="shared" si="30"/>
        <v>38600</v>
      </c>
      <c r="AE20" s="28">
        <f t="shared" si="24"/>
        <v>4056100</v>
      </c>
      <c r="AF20" s="28">
        <f t="shared" si="25"/>
        <v>4056100</v>
      </c>
      <c r="AG20" s="35">
        <f t="shared" si="26"/>
        <v>0</v>
      </c>
      <c r="AH20" s="28"/>
      <c r="AI20" s="33">
        <f t="shared" si="27"/>
        <v>0</v>
      </c>
      <c r="AJ20" s="22" t="s">
        <v>63</v>
      </c>
    </row>
    <row r="21" spans="1:36" s="19" customFormat="1" ht="28.5" customHeight="1" x14ac:dyDescent="0.25">
      <c r="A21" s="23">
        <v>8</v>
      </c>
      <c r="B21" s="172" t="s">
        <v>64</v>
      </c>
      <c r="C21" s="191" t="s">
        <v>466</v>
      </c>
      <c r="D21" s="42" t="s">
        <v>51</v>
      </c>
      <c r="E21" s="26" t="s">
        <v>57</v>
      </c>
      <c r="F21" s="27">
        <v>24</v>
      </c>
      <c r="G21" s="28">
        <v>3860000</v>
      </c>
      <c r="H21" s="28">
        <f t="shared" si="17"/>
        <v>3860000</v>
      </c>
      <c r="I21" s="28"/>
      <c r="J21" s="28"/>
      <c r="K21" s="28">
        <v>0</v>
      </c>
      <c r="L21" s="28">
        <v>0</v>
      </c>
      <c r="M21" s="28"/>
      <c r="N21" s="28"/>
      <c r="O21" s="28"/>
      <c r="P21" s="28">
        <f t="shared" si="18"/>
        <v>0</v>
      </c>
      <c r="Q21" s="28">
        <f>4500000-G21-P21</f>
        <v>640000</v>
      </c>
      <c r="R21" s="27">
        <v>24</v>
      </c>
      <c r="S21" s="29"/>
      <c r="T21" s="30">
        <f t="shared" si="19"/>
        <v>4500000</v>
      </c>
      <c r="U21" s="28">
        <f t="shared" si="20"/>
        <v>0</v>
      </c>
      <c r="V21" s="28">
        <f t="shared" si="21"/>
        <v>0</v>
      </c>
      <c r="W21" s="28">
        <f t="shared" si="22"/>
        <v>4500000</v>
      </c>
      <c r="X21" s="28">
        <v>11000000</v>
      </c>
      <c r="Y21" s="30"/>
      <c r="Z21" s="28"/>
      <c r="AA21" s="28">
        <f t="shared" si="23"/>
        <v>405300</v>
      </c>
      <c r="AB21" s="31">
        <f t="shared" si="28"/>
        <v>0</v>
      </c>
      <c r="AC21" s="32">
        <f t="shared" si="29"/>
        <v>0</v>
      </c>
      <c r="AD21" s="32">
        <f t="shared" si="30"/>
        <v>38600</v>
      </c>
      <c r="AE21" s="28">
        <f t="shared" si="24"/>
        <v>4056100</v>
      </c>
      <c r="AF21" s="28">
        <f t="shared" si="25"/>
        <v>4056100</v>
      </c>
      <c r="AG21" s="35">
        <f>+AE21-AF21</f>
        <v>0</v>
      </c>
      <c r="AH21" s="28"/>
      <c r="AI21" s="35">
        <f t="shared" si="27"/>
        <v>0</v>
      </c>
      <c r="AJ21" s="161" t="s">
        <v>65</v>
      </c>
    </row>
    <row r="22" spans="1:36" s="19" customFormat="1" ht="28.5" customHeight="1" x14ac:dyDescent="0.25">
      <c r="A22" s="23">
        <v>9</v>
      </c>
      <c r="B22" s="172" t="s">
        <v>336</v>
      </c>
      <c r="C22" s="191" t="s">
        <v>467</v>
      </c>
      <c r="D22" s="42" t="s">
        <v>51</v>
      </c>
      <c r="E22" s="26" t="s">
        <v>57</v>
      </c>
      <c r="F22" s="27">
        <v>24</v>
      </c>
      <c r="G22" s="28">
        <v>3900000</v>
      </c>
      <c r="H22" s="28">
        <f t="shared" si="17"/>
        <v>3900000</v>
      </c>
      <c r="I22" s="28"/>
      <c r="J22" s="28"/>
      <c r="K22" s="28">
        <v>1000000</v>
      </c>
      <c r="L22" s="28"/>
      <c r="M22" s="28"/>
      <c r="N22" s="28"/>
      <c r="O22" s="28"/>
      <c r="P22" s="28">
        <f t="shared" si="18"/>
        <v>1000000</v>
      </c>
      <c r="Q22" s="28">
        <f>12000000-G22-P22</f>
        <v>7100000</v>
      </c>
      <c r="R22" s="27">
        <v>24</v>
      </c>
      <c r="S22" s="162"/>
      <c r="T22" s="30">
        <f>ROUND(((G22+P22+Q22)/F22*R22)+S22,0)</f>
        <v>12000000</v>
      </c>
      <c r="U22" s="28"/>
      <c r="V22" s="28"/>
      <c r="W22" s="28">
        <f t="shared" si="22"/>
        <v>12000000</v>
      </c>
      <c r="X22" s="28">
        <v>11000000</v>
      </c>
      <c r="Y22" s="30"/>
      <c r="Z22" s="28"/>
      <c r="AA22" s="28">
        <f t="shared" si="23"/>
        <v>409500</v>
      </c>
      <c r="AB22" s="31">
        <f t="shared" ref="AB22" si="31">+IF(W22-X22-Z22-AA22&gt;0,W22-X22-Z22-AA22,0)</f>
        <v>590500</v>
      </c>
      <c r="AC22" s="32">
        <f t="shared" ref="AC22" si="32">ROUND(IF(AB22&gt;80000000,AB22*35%-9850000,IF(AB22&gt;52000000,AB22*30%-5850000,IF(AB22&gt;32000000,AB22*25%-3250000,IF(AB22&gt;18000000,AB22*20%-1650000,IF(AB22&gt;10000000,AB22*15%-750000,IF(AB22&gt;5000000,AB22*10%-250000,IF(AB22&gt;0,AB22*5%,0))))))),0)</f>
        <v>29525</v>
      </c>
      <c r="AD22" s="32">
        <f t="shared" ref="AD22" si="33">ROUND(H22*1%,0)</f>
        <v>39000</v>
      </c>
      <c r="AE22" s="28">
        <f t="shared" si="24"/>
        <v>11521975</v>
      </c>
      <c r="AF22" s="28">
        <f t="shared" ref="AF22" si="34">+AE22</f>
        <v>11521975</v>
      </c>
      <c r="AG22" s="35">
        <f>+AE22-AF22</f>
        <v>0</v>
      </c>
      <c r="AH22" s="28"/>
      <c r="AI22" s="35">
        <f>+IF(AC22&gt;0,1,0)</f>
        <v>1</v>
      </c>
      <c r="AJ22" s="49" t="s">
        <v>338</v>
      </c>
    </row>
    <row r="23" spans="1:36" s="19" customFormat="1" ht="30" customHeight="1" x14ac:dyDescent="0.25">
      <c r="A23" s="23">
        <v>10</v>
      </c>
      <c r="B23" s="172" t="s">
        <v>53</v>
      </c>
      <c r="C23" s="191" t="s">
        <v>468</v>
      </c>
      <c r="D23" s="42" t="s">
        <v>261</v>
      </c>
      <c r="E23" s="26" t="s">
        <v>44</v>
      </c>
      <c r="F23" s="27">
        <v>24</v>
      </c>
      <c r="G23" s="28">
        <v>3900000</v>
      </c>
      <c r="H23" s="28">
        <f>+G23+O23</f>
        <v>3900000</v>
      </c>
      <c r="I23" s="28"/>
      <c r="J23" s="28"/>
      <c r="K23" s="28">
        <v>1000000</v>
      </c>
      <c r="L23" s="28">
        <v>0</v>
      </c>
      <c r="M23" s="27"/>
      <c r="N23" s="27"/>
      <c r="O23" s="28"/>
      <c r="P23" s="28">
        <f>SUM(I23:O23)</f>
        <v>1000000</v>
      </c>
      <c r="Q23" s="28">
        <f>10000000-G23-P23</f>
        <v>5100000</v>
      </c>
      <c r="R23" s="27">
        <v>24</v>
      </c>
      <c r="S23" s="29"/>
      <c r="T23" s="30">
        <f t="shared" si="19"/>
        <v>10000000</v>
      </c>
      <c r="U23" s="28">
        <f t="shared" si="20"/>
        <v>0</v>
      </c>
      <c r="V23" s="28">
        <f t="shared" si="21"/>
        <v>0</v>
      </c>
      <c r="W23" s="28">
        <f>+T23-U23-V23</f>
        <v>10000000</v>
      </c>
      <c r="X23" s="28">
        <v>11000000</v>
      </c>
      <c r="Y23" s="30"/>
      <c r="Z23" s="28"/>
      <c r="AA23" s="28">
        <f t="shared" si="23"/>
        <v>409500</v>
      </c>
      <c r="AB23" s="31">
        <f>+IF(W23-X23-Z23-AA23&gt;0,W23-X23-Z23-AA23,0)</f>
        <v>0</v>
      </c>
      <c r="AC23" s="32">
        <f>ROUND(IF(AB23&gt;80000000,AB23*35%-9850000,IF(AB23&gt;52000000,AB23*30%-5850000,IF(AB23&gt;32000000,AB23*25%-3250000,IF(AB23&gt;18000000,AB23*20%-1650000,IF(AB23&gt;10000000,AB23*15%-750000,IF(AB23&gt;5000000,AB23*10%-250000,IF(AB23&gt;0,AB23*5%,0))))))),0)</f>
        <v>0</v>
      </c>
      <c r="AD23" s="32">
        <f t="shared" si="30"/>
        <v>39000</v>
      </c>
      <c r="AE23" s="28">
        <f t="shared" si="24"/>
        <v>9551500</v>
      </c>
      <c r="AF23" s="28">
        <f>+AE23</f>
        <v>9551500</v>
      </c>
      <c r="AG23" s="35">
        <f t="shared" ref="AG23:AG24" si="35">+AE23-AF23</f>
        <v>0</v>
      </c>
      <c r="AH23" s="28"/>
      <c r="AI23" s="35">
        <f t="shared" si="27"/>
        <v>0</v>
      </c>
      <c r="AJ23" s="22" t="s">
        <v>54</v>
      </c>
    </row>
    <row r="24" spans="1:36" s="19" customFormat="1" ht="28.5" customHeight="1" x14ac:dyDescent="0.25">
      <c r="A24" s="23">
        <v>11</v>
      </c>
      <c r="B24" s="172" t="s">
        <v>58</v>
      </c>
      <c r="C24" s="191" t="s">
        <v>469</v>
      </c>
      <c r="D24" s="42" t="s">
        <v>261</v>
      </c>
      <c r="E24" s="26" t="s">
        <v>57</v>
      </c>
      <c r="F24" s="27">
        <v>24</v>
      </c>
      <c r="G24" s="28">
        <v>3900000</v>
      </c>
      <c r="H24" s="28">
        <f>+G24+O24</f>
        <v>3900000</v>
      </c>
      <c r="I24" s="28"/>
      <c r="J24" s="28"/>
      <c r="K24" s="28">
        <v>1000000</v>
      </c>
      <c r="L24" s="28">
        <v>0</v>
      </c>
      <c r="M24" s="28"/>
      <c r="N24" s="28"/>
      <c r="O24" s="28"/>
      <c r="P24" s="28">
        <f>SUM(I24:O24)</f>
        <v>1000000</v>
      </c>
      <c r="Q24" s="28">
        <f>7000000-G24-P24</f>
        <v>2100000</v>
      </c>
      <c r="R24" s="27">
        <v>24</v>
      </c>
      <c r="S24" s="29"/>
      <c r="T24" s="30">
        <f t="shared" si="19"/>
        <v>7000000</v>
      </c>
      <c r="U24" s="28">
        <f t="shared" si="20"/>
        <v>0</v>
      </c>
      <c r="V24" s="28">
        <f t="shared" si="21"/>
        <v>0</v>
      </c>
      <c r="W24" s="28">
        <f>+T24-U24-V24</f>
        <v>7000000</v>
      </c>
      <c r="X24" s="28">
        <v>11000000</v>
      </c>
      <c r="Y24" s="30"/>
      <c r="Z24" s="28"/>
      <c r="AA24" s="28">
        <f>ROUND(H24*10.5%,0)</f>
        <v>409500</v>
      </c>
      <c r="AB24" s="31">
        <f>+IF(W24-X24-Z24-AA24&gt;0,W24-X24-Z24-AA24,0)</f>
        <v>0</v>
      </c>
      <c r="AC24" s="32">
        <f>ROUND(IF(AB24&gt;80000000,AB24*35%-9850000,IF(AB24&gt;52000000,AB24*30%-5850000,IF(AB24&gt;32000000,AB24*25%-3250000,IF(AB24&gt;18000000,AB24*20%-1650000,IF(AB24&gt;10000000,AB24*15%-750000,IF(AB24&gt;5000000,AB24*10%-250000,IF(AB24&gt;0,AB24*5%,0))))))),0)</f>
        <v>0</v>
      </c>
      <c r="AD24" s="32">
        <f>ROUND(H24*1%,0)</f>
        <v>39000</v>
      </c>
      <c r="AE24" s="28">
        <f t="shared" si="24"/>
        <v>6551500</v>
      </c>
      <c r="AF24" s="28">
        <f>+AE24</f>
        <v>6551500</v>
      </c>
      <c r="AG24" s="35">
        <f t="shared" si="35"/>
        <v>0</v>
      </c>
      <c r="AH24" s="28"/>
      <c r="AI24" s="35">
        <f t="shared" si="27"/>
        <v>0</v>
      </c>
      <c r="AJ24" s="22" t="s">
        <v>59</v>
      </c>
    </row>
    <row r="25" spans="1:36" s="19" customFormat="1" ht="28.5" customHeight="1" x14ac:dyDescent="0.25">
      <c r="A25" s="23">
        <v>12</v>
      </c>
      <c r="B25" s="172" t="s">
        <v>340</v>
      </c>
      <c r="C25" s="191" t="s">
        <v>470</v>
      </c>
      <c r="D25" s="25" t="s">
        <v>397</v>
      </c>
      <c r="E25" s="26" t="s">
        <v>57</v>
      </c>
      <c r="F25" s="27">
        <v>24</v>
      </c>
      <c r="G25" s="28">
        <v>3900000</v>
      </c>
      <c r="H25" s="28">
        <f>+G25+O25</f>
        <v>3900000</v>
      </c>
      <c r="I25" s="28"/>
      <c r="J25" s="28"/>
      <c r="K25" s="28">
        <v>1000000</v>
      </c>
      <c r="L25" s="28"/>
      <c r="M25" s="28"/>
      <c r="N25" s="28"/>
      <c r="O25" s="28"/>
      <c r="P25" s="28">
        <f>SUM(I25:O25)</f>
        <v>1000000</v>
      </c>
      <c r="Q25" s="28">
        <f>6000000-G25-P25</f>
        <v>1100000</v>
      </c>
      <c r="R25" s="27">
        <v>24</v>
      </c>
      <c r="S25" s="29"/>
      <c r="T25" s="30">
        <f>ROUND((G25+P25+Q25)/F25*R25,0)</f>
        <v>6000000</v>
      </c>
      <c r="U25" s="28"/>
      <c r="V25" s="28"/>
      <c r="W25" s="28">
        <f>+T25-U25-V25</f>
        <v>6000000</v>
      </c>
      <c r="X25" s="28">
        <v>11000000</v>
      </c>
      <c r="Y25" s="30"/>
      <c r="Z25" s="28"/>
      <c r="AA25" s="28">
        <f>ROUND(H25*10.5%,0)</f>
        <v>409500</v>
      </c>
      <c r="AB25" s="31">
        <f>+IF(W25-X25-Z25-AA25&gt;0,W25-X25-Z25-AA25,0)</f>
        <v>0</v>
      </c>
      <c r="AC25" s="32">
        <f>ROUND(IF(AB25&gt;80000000,AB25*35%-9850000,IF(AB25&gt;52000000,AB25*30%-5850000,IF(AB25&gt;32000000,AB25*25%-3250000,IF(AB25&gt;18000000,AB25*20%-1650000,IF(AB25&gt;10000000,AB25*15%-750000,IF(AB25&gt;5000000,AB25*10%-250000,IF(AB25&gt;0,AB25*5%,0))))))),0)</f>
        <v>0</v>
      </c>
      <c r="AD25" s="32">
        <f>ROUND(H25*1%,0)</f>
        <v>39000</v>
      </c>
      <c r="AE25" s="28">
        <f>ROUND(T25-AA25-AC25-AD25,0)</f>
        <v>5551500</v>
      </c>
      <c r="AF25" s="28">
        <f>+AE25</f>
        <v>5551500</v>
      </c>
      <c r="AG25" s="35">
        <f>+AE25-AF25</f>
        <v>0</v>
      </c>
      <c r="AH25" s="28"/>
      <c r="AI25" s="35">
        <f>+IF(AC25&gt;0,1,0)</f>
        <v>0</v>
      </c>
      <c r="AJ25" s="49" t="s">
        <v>341</v>
      </c>
    </row>
    <row r="26" spans="1:36" s="19" customFormat="1" ht="28.5" customHeight="1" x14ac:dyDescent="0.25">
      <c r="A26" s="23">
        <v>13</v>
      </c>
      <c r="B26" s="172" t="s">
        <v>244</v>
      </c>
      <c r="C26" s="191" t="s">
        <v>471</v>
      </c>
      <c r="D26" s="42" t="s">
        <v>245</v>
      </c>
      <c r="E26" s="26" t="s">
        <v>44</v>
      </c>
      <c r="F26" s="27">
        <v>24</v>
      </c>
      <c r="G26" s="28">
        <v>5000000</v>
      </c>
      <c r="H26" s="28">
        <f>+G26+O26</f>
        <v>5000000</v>
      </c>
      <c r="I26" s="28"/>
      <c r="J26" s="28"/>
      <c r="K26" s="28">
        <v>1000000</v>
      </c>
      <c r="L26" s="28">
        <v>0</v>
      </c>
      <c r="M26" s="28"/>
      <c r="N26" s="28"/>
      <c r="O26" s="28"/>
      <c r="P26" s="28">
        <f>SUM(I26:O26)</f>
        <v>1000000</v>
      </c>
      <c r="Q26" s="28">
        <f>21000000-G26-P26</f>
        <v>15000000</v>
      </c>
      <c r="R26" s="27">
        <v>24</v>
      </c>
      <c r="S26" s="29"/>
      <c r="T26" s="30">
        <f>ROUND((G26+P26+Q26)/F26*R26,0)</f>
        <v>21000000</v>
      </c>
      <c r="U26" s="28">
        <f>+I26</f>
        <v>0</v>
      </c>
      <c r="V26" s="50">
        <f>+N26</f>
        <v>0</v>
      </c>
      <c r="W26" s="28">
        <f>+T26-U26-V26</f>
        <v>21000000</v>
      </c>
      <c r="X26" s="28">
        <v>11000000</v>
      </c>
      <c r="Y26" s="30">
        <v>2</v>
      </c>
      <c r="Z26" s="28">
        <f>4400000*Y26</f>
        <v>8800000</v>
      </c>
      <c r="AA26" s="28">
        <f t="shared" si="23"/>
        <v>525000</v>
      </c>
      <c r="AB26" s="31">
        <f t="shared" si="28"/>
        <v>675000</v>
      </c>
      <c r="AC26" s="32">
        <f t="shared" si="29"/>
        <v>33750</v>
      </c>
      <c r="AD26" s="32">
        <f t="shared" si="30"/>
        <v>50000</v>
      </c>
      <c r="AE26" s="28">
        <f t="shared" si="24"/>
        <v>20391250</v>
      </c>
      <c r="AF26" s="28">
        <f>+AE26</f>
        <v>20391250</v>
      </c>
      <c r="AG26" s="35">
        <f>+AE26-AF26</f>
        <v>0</v>
      </c>
      <c r="AH26" s="28"/>
      <c r="AI26" s="35">
        <f t="shared" si="27"/>
        <v>1</v>
      </c>
      <c r="AJ26" s="161" t="s">
        <v>246</v>
      </c>
    </row>
    <row r="27" spans="1:36" s="19" customFormat="1" ht="28.5" customHeight="1" x14ac:dyDescent="0.25">
      <c r="A27" s="23">
        <v>14</v>
      </c>
      <c r="B27" s="172" t="s">
        <v>66</v>
      </c>
      <c r="C27" s="191" t="s">
        <v>472</v>
      </c>
      <c r="D27" s="42" t="s">
        <v>67</v>
      </c>
      <c r="E27" s="26" t="s">
        <v>44</v>
      </c>
      <c r="F27" s="27">
        <v>24</v>
      </c>
      <c r="G27" s="28">
        <v>5000000</v>
      </c>
      <c r="H27" s="28">
        <f t="shared" si="17"/>
        <v>6000000</v>
      </c>
      <c r="I27" s="28"/>
      <c r="J27" s="28"/>
      <c r="K27" s="28">
        <v>1000000</v>
      </c>
      <c r="L27" s="28">
        <v>0</v>
      </c>
      <c r="M27" s="28"/>
      <c r="N27" s="28"/>
      <c r="O27" s="28">
        <v>1000000</v>
      </c>
      <c r="P27" s="28">
        <f t="shared" si="18"/>
        <v>2000000</v>
      </c>
      <c r="Q27" s="28">
        <f>50000000-G27-P27</f>
        <v>43000000</v>
      </c>
      <c r="R27" s="27">
        <v>24</v>
      </c>
      <c r="S27" s="29"/>
      <c r="T27" s="30">
        <f t="shared" si="19"/>
        <v>50000000</v>
      </c>
      <c r="U27" s="28">
        <f t="shared" si="20"/>
        <v>0</v>
      </c>
      <c r="V27" s="28">
        <f t="shared" si="21"/>
        <v>0</v>
      </c>
      <c r="W27" s="28">
        <f t="shared" si="22"/>
        <v>50000000</v>
      </c>
      <c r="X27" s="28">
        <v>11000000</v>
      </c>
      <c r="Y27" s="30">
        <v>3</v>
      </c>
      <c r="Z27" s="28">
        <f>4400000*Y27</f>
        <v>13200000</v>
      </c>
      <c r="AA27" s="28">
        <f t="shared" si="23"/>
        <v>630000</v>
      </c>
      <c r="AB27" s="31">
        <f t="shared" si="28"/>
        <v>25170000</v>
      </c>
      <c r="AC27" s="32">
        <f t="shared" si="29"/>
        <v>3384000</v>
      </c>
      <c r="AD27" s="32">
        <f t="shared" si="30"/>
        <v>60000</v>
      </c>
      <c r="AE27" s="28">
        <f t="shared" si="24"/>
        <v>45926000</v>
      </c>
      <c r="AF27" s="28">
        <v>35000000</v>
      </c>
      <c r="AG27" s="35">
        <f t="shared" si="26"/>
        <v>10926000</v>
      </c>
      <c r="AH27" s="28"/>
      <c r="AI27" s="33">
        <f t="shared" si="27"/>
        <v>1</v>
      </c>
      <c r="AJ27" s="22" t="s">
        <v>68</v>
      </c>
    </row>
    <row r="28" spans="1:36" s="19" customFormat="1" ht="28.5" customHeight="1" x14ac:dyDescent="0.25">
      <c r="A28" s="23">
        <v>15</v>
      </c>
      <c r="B28" s="172" t="s">
        <v>69</v>
      </c>
      <c r="C28" s="191" t="s">
        <v>473</v>
      </c>
      <c r="D28" s="42" t="s">
        <v>70</v>
      </c>
      <c r="E28" s="26" t="s">
        <v>44</v>
      </c>
      <c r="F28" s="27">
        <v>24</v>
      </c>
      <c r="G28" s="28">
        <v>5000000</v>
      </c>
      <c r="H28" s="28">
        <f t="shared" si="17"/>
        <v>5000000</v>
      </c>
      <c r="I28" s="28"/>
      <c r="J28" s="28"/>
      <c r="K28" s="28">
        <v>1000000</v>
      </c>
      <c r="L28" s="28">
        <v>0</v>
      </c>
      <c r="M28" s="28"/>
      <c r="N28" s="28"/>
      <c r="O28" s="28"/>
      <c r="P28" s="28">
        <f t="shared" si="18"/>
        <v>1000000</v>
      </c>
      <c r="Q28" s="28">
        <f>18000000-G28-P28</f>
        <v>12000000</v>
      </c>
      <c r="R28" s="27">
        <v>24</v>
      </c>
      <c r="S28" s="29"/>
      <c r="T28" s="30">
        <f t="shared" si="19"/>
        <v>18000000</v>
      </c>
      <c r="U28" s="28">
        <f t="shared" si="20"/>
        <v>0</v>
      </c>
      <c r="V28" s="28">
        <f t="shared" si="21"/>
        <v>0</v>
      </c>
      <c r="W28" s="28">
        <f t="shared" si="22"/>
        <v>18000000</v>
      </c>
      <c r="X28" s="28">
        <v>11000000</v>
      </c>
      <c r="Y28" s="30"/>
      <c r="Z28" s="28"/>
      <c r="AA28" s="28">
        <f t="shared" si="23"/>
        <v>525000</v>
      </c>
      <c r="AB28" s="31">
        <f t="shared" si="28"/>
        <v>6475000</v>
      </c>
      <c r="AC28" s="32">
        <f t="shared" si="29"/>
        <v>397500</v>
      </c>
      <c r="AD28" s="32">
        <f t="shared" si="30"/>
        <v>50000</v>
      </c>
      <c r="AE28" s="28">
        <f t="shared" si="24"/>
        <v>17027500</v>
      </c>
      <c r="AF28" s="28">
        <f>AE28</f>
        <v>17027500</v>
      </c>
      <c r="AG28" s="35">
        <f t="shared" si="26"/>
        <v>0</v>
      </c>
      <c r="AH28" s="28"/>
      <c r="AI28" s="33">
        <f t="shared" si="27"/>
        <v>1</v>
      </c>
      <c r="AJ28" s="22" t="s">
        <v>71</v>
      </c>
    </row>
    <row r="29" spans="1:36" s="19" customFormat="1" ht="28.5" customHeight="1" x14ac:dyDescent="0.25">
      <c r="A29" s="23">
        <v>16</v>
      </c>
      <c r="B29" s="172" t="s">
        <v>331</v>
      </c>
      <c r="C29" s="191" t="s">
        <v>474</v>
      </c>
      <c r="D29" s="42" t="s">
        <v>70</v>
      </c>
      <c r="E29" s="26" t="s">
        <v>57</v>
      </c>
      <c r="F29" s="27">
        <v>24</v>
      </c>
      <c r="G29" s="28">
        <v>3900000</v>
      </c>
      <c r="H29" s="28">
        <f t="shared" si="17"/>
        <v>3900000</v>
      </c>
      <c r="I29" s="28"/>
      <c r="J29" s="28"/>
      <c r="K29" s="28">
        <v>1000000</v>
      </c>
      <c r="L29" s="28"/>
      <c r="M29" s="28"/>
      <c r="N29" s="28"/>
      <c r="O29" s="28"/>
      <c r="P29" s="28">
        <f>SUM(I29:O29)</f>
        <v>1000000</v>
      </c>
      <c r="Q29" s="28">
        <f>13000000-G29-P29</f>
        <v>8100000</v>
      </c>
      <c r="R29" s="27">
        <v>23</v>
      </c>
      <c r="S29" s="29"/>
      <c r="T29" s="30">
        <f>ROUND((G29+P29+Q29)/F29*R29,0)</f>
        <v>12458333</v>
      </c>
      <c r="U29" s="28"/>
      <c r="V29" s="28"/>
      <c r="W29" s="28">
        <f>IF(T29-U29-V29&lt;0,0,T29-U29-V29)</f>
        <v>12458333</v>
      </c>
      <c r="X29" s="28">
        <v>11000000</v>
      </c>
      <c r="Y29" s="30"/>
      <c r="Z29" s="28"/>
      <c r="AA29" s="28">
        <f t="shared" si="23"/>
        <v>409500</v>
      </c>
      <c r="AB29" s="31">
        <f t="shared" si="28"/>
        <v>1048833</v>
      </c>
      <c r="AC29" s="32">
        <f t="shared" si="29"/>
        <v>52442</v>
      </c>
      <c r="AD29" s="32">
        <f t="shared" si="30"/>
        <v>39000</v>
      </c>
      <c r="AE29" s="28">
        <f t="shared" si="24"/>
        <v>11957391</v>
      </c>
      <c r="AF29" s="28">
        <f>AE29</f>
        <v>11957391</v>
      </c>
      <c r="AG29" s="35">
        <f t="shared" si="26"/>
        <v>0</v>
      </c>
      <c r="AH29" s="28"/>
      <c r="AI29" s="33">
        <f t="shared" si="27"/>
        <v>1</v>
      </c>
      <c r="AJ29" s="49" t="s">
        <v>334</v>
      </c>
    </row>
    <row r="30" spans="1:36" s="19" customFormat="1" ht="28.5" customHeight="1" x14ac:dyDescent="0.25">
      <c r="A30" s="23">
        <v>17</v>
      </c>
      <c r="B30" s="172" t="s">
        <v>72</v>
      </c>
      <c r="C30" s="191" t="s">
        <v>475</v>
      </c>
      <c r="D30" s="42" t="s">
        <v>75</v>
      </c>
      <c r="E30" s="26" t="s">
        <v>44</v>
      </c>
      <c r="F30" s="27">
        <v>24</v>
      </c>
      <c r="G30" s="28">
        <v>5000000</v>
      </c>
      <c r="H30" s="28">
        <f>+G30+O30</f>
        <v>5000000</v>
      </c>
      <c r="I30" s="28"/>
      <c r="J30" s="28"/>
      <c r="K30" s="28">
        <v>1000000</v>
      </c>
      <c r="L30" s="28">
        <v>0</v>
      </c>
      <c r="M30" s="28"/>
      <c r="N30" s="28"/>
      <c r="O30" s="28"/>
      <c r="P30" s="28">
        <f>SUM(I30:O30)</f>
        <v>1000000</v>
      </c>
      <c r="Q30" s="28">
        <f>18000000-G30-P30</f>
        <v>12000000</v>
      </c>
      <c r="R30" s="27">
        <v>24</v>
      </c>
      <c r="S30" s="29"/>
      <c r="T30" s="30">
        <f>ROUND((G30+P30+Q30)/F30*R30,0)</f>
        <v>18000000</v>
      </c>
      <c r="U30" s="28">
        <f>+I30</f>
        <v>0</v>
      </c>
      <c r="V30" s="28">
        <f>+N30</f>
        <v>0</v>
      </c>
      <c r="W30" s="28">
        <f>+T30-U30-V30</f>
        <v>18000000</v>
      </c>
      <c r="X30" s="28">
        <v>11000000</v>
      </c>
      <c r="Y30" s="30"/>
      <c r="Z30" s="28"/>
      <c r="AA30" s="28">
        <f>ROUND(H30*10.5%,0)</f>
        <v>525000</v>
      </c>
      <c r="AB30" s="31">
        <f>+IF(W30-X30-Z30-AA30&gt;0,W30-X30-Z30-AA30,0)</f>
        <v>6475000</v>
      </c>
      <c r="AC30" s="32">
        <f>ROUND(IF(AB30&gt;80000000,AB30*35%-9850000,IF(AB30&gt;52000000,AB30*30%-5850000,IF(AB30&gt;32000000,AB30*25%-3250000,IF(AB30&gt;18000000,AB30*20%-1650000,IF(AB30&gt;10000000,AB30*15%-750000,IF(AB30&gt;5000000,AB30*10%-250000,IF(AB30&gt;0,AB30*5%,0))))))),0)</f>
        <v>397500</v>
      </c>
      <c r="AD30" s="32">
        <f>ROUND(H30*1%,0)</f>
        <v>50000</v>
      </c>
      <c r="AE30" s="28">
        <f>ROUND(T30-AA30-AC30-AD30,0)</f>
        <v>17027500</v>
      </c>
      <c r="AF30" s="28">
        <f>AE30</f>
        <v>17027500</v>
      </c>
      <c r="AG30" s="35">
        <f>+AE30-AF30</f>
        <v>0</v>
      </c>
      <c r="AH30" s="28"/>
      <c r="AI30" s="33">
        <f>+IF(AC30&gt;0,1,0)</f>
        <v>1</v>
      </c>
      <c r="AJ30" s="22" t="s">
        <v>73</v>
      </c>
    </row>
    <row r="31" spans="1:36" s="19" customFormat="1" ht="28.5" customHeight="1" x14ac:dyDescent="0.25">
      <c r="A31" s="23">
        <v>18</v>
      </c>
      <c r="B31" s="172" t="s">
        <v>74</v>
      </c>
      <c r="C31" s="191" t="s">
        <v>476</v>
      </c>
      <c r="D31" s="42" t="s">
        <v>75</v>
      </c>
      <c r="E31" s="26" t="s">
        <v>57</v>
      </c>
      <c r="F31" s="27">
        <v>24</v>
      </c>
      <c r="G31" s="28">
        <v>3900000</v>
      </c>
      <c r="H31" s="28">
        <f t="shared" ref="H31:H32" si="36">+G31+O31</f>
        <v>3900000</v>
      </c>
      <c r="I31" s="28"/>
      <c r="J31" s="28"/>
      <c r="K31" s="28">
        <v>1000000</v>
      </c>
      <c r="L31" s="28">
        <v>0</v>
      </c>
      <c r="M31" s="28"/>
      <c r="N31" s="28"/>
      <c r="O31" s="28"/>
      <c r="P31" s="28">
        <f t="shared" ref="P31" si="37">SUM(I31:O31)</f>
        <v>1000000</v>
      </c>
      <c r="Q31" s="28">
        <f>11000000-G31-P31</f>
        <v>6100000</v>
      </c>
      <c r="R31" s="27">
        <v>24</v>
      </c>
      <c r="S31" s="29"/>
      <c r="T31" s="30">
        <f t="shared" ref="T31" si="38">ROUND((G31+P31+Q31)/F31*R31,0)</f>
        <v>11000000</v>
      </c>
      <c r="U31" s="28">
        <f t="shared" ref="U31" si="39">+I31</f>
        <v>0</v>
      </c>
      <c r="V31" s="28">
        <f t="shared" ref="V31" si="40">+N31</f>
        <v>0</v>
      </c>
      <c r="W31" s="28">
        <f t="shared" ref="W31" si="41">+T31-U31-V31</f>
        <v>11000000</v>
      </c>
      <c r="X31" s="28">
        <v>11000000</v>
      </c>
      <c r="Y31" s="30"/>
      <c r="Z31" s="28"/>
      <c r="AA31" s="28">
        <f t="shared" ref="AA31:AA32" si="42">ROUND(H31*10.5%,0)</f>
        <v>409500</v>
      </c>
      <c r="AB31" s="31">
        <f t="shared" ref="AB31:AB32" si="43">+IF(W31-X31-Z31-AA31&gt;0,W31-X31-Z31-AA31,0)</f>
        <v>0</v>
      </c>
      <c r="AC31" s="32">
        <f t="shared" ref="AC31:AC32" si="44">ROUND(IF(AB31&gt;80000000,AB31*35%-9850000,IF(AB31&gt;52000000,AB31*30%-5850000,IF(AB31&gt;32000000,AB31*25%-3250000,IF(AB31&gt;18000000,AB31*20%-1650000,IF(AB31&gt;10000000,AB31*15%-750000,IF(AB31&gt;5000000,AB31*10%-250000,IF(AB31&gt;0,AB31*5%,0))))))),0)</f>
        <v>0</v>
      </c>
      <c r="AD31" s="32">
        <f t="shared" ref="AD31:AD32" si="45">ROUND(H31*1%,0)</f>
        <v>39000</v>
      </c>
      <c r="AE31" s="28">
        <f t="shared" ref="AE31:AE32" si="46">ROUND(T31-AA31-AC31-AD31,0)</f>
        <v>10551500</v>
      </c>
      <c r="AF31" s="28">
        <f>AE31</f>
        <v>10551500</v>
      </c>
      <c r="AG31" s="35">
        <f t="shared" ref="AG31:AG32" si="47">+AE31-AF31</f>
        <v>0</v>
      </c>
      <c r="AH31" s="28"/>
      <c r="AI31" s="33">
        <f t="shared" ref="AI31:AI32" si="48">+IF(AC31&gt;0,1,0)</f>
        <v>0</v>
      </c>
      <c r="AJ31" s="161" t="s">
        <v>76</v>
      </c>
    </row>
    <row r="32" spans="1:36" s="19" customFormat="1" ht="28.5" customHeight="1" x14ac:dyDescent="0.25">
      <c r="A32" s="23">
        <v>19</v>
      </c>
      <c r="B32" s="172" t="s">
        <v>380</v>
      </c>
      <c r="C32" s="191" t="s">
        <v>477</v>
      </c>
      <c r="D32" s="42" t="s">
        <v>75</v>
      </c>
      <c r="E32" s="26" t="s">
        <v>57</v>
      </c>
      <c r="F32" s="27">
        <v>24</v>
      </c>
      <c r="G32" s="28">
        <v>3900000</v>
      </c>
      <c r="H32" s="28">
        <f t="shared" si="36"/>
        <v>3900000</v>
      </c>
      <c r="I32" s="28"/>
      <c r="J32" s="28"/>
      <c r="K32" s="28">
        <v>1000000</v>
      </c>
      <c r="L32" s="28"/>
      <c r="M32" s="28"/>
      <c r="N32" s="28"/>
      <c r="O32" s="28"/>
      <c r="P32" s="28">
        <f>SUM(I32:O32)</f>
        <v>1000000</v>
      </c>
      <c r="Q32" s="28">
        <f>11000000-G32-P32</f>
        <v>6100000</v>
      </c>
      <c r="R32" s="27">
        <v>24</v>
      </c>
      <c r="S32" s="29"/>
      <c r="T32" s="30">
        <f>ROUND((G32+P32+Q32)/F32*R32,0)</f>
        <v>11000000</v>
      </c>
      <c r="U32" s="28"/>
      <c r="V32" s="28"/>
      <c r="W32" s="28">
        <f>IF(T32-U32-V32&lt;0,0,T32-U32-V32)</f>
        <v>11000000</v>
      </c>
      <c r="X32" s="28">
        <v>11000000</v>
      </c>
      <c r="Y32" s="30"/>
      <c r="Z32" s="28"/>
      <c r="AA32" s="28">
        <f t="shared" si="42"/>
        <v>409500</v>
      </c>
      <c r="AB32" s="31">
        <f t="shared" si="43"/>
        <v>0</v>
      </c>
      <c r="AC32" s="32">
        <f t="shared" si="44"/>
        <v>0</v>
      </c>
      <c r="AD32" s="32">
        <f t="shared" si="45"/>
        <v>39000</v>
      </c>
      <c r="AE32" s="28">
        <f t="shared" si="46"/>
        <v>10551500</v>
      </c>
      <c r="AF32" s="28">
        <f>AE32</f>
        <v>10551500</v>
      </c>
      <c r="AG32" s="35">
        <f t="shared" si="47"/>
        <v>0</v>
      </c>
      <c r="AH32" s="28"/>
      <c r="AI32" s="33">
        <f t="shared" si="48"/>
        <v>0</v>
      </c>
      <c r="AJ32" s="49" t="s">
        <v>429</v>
      </c>
    </row>
    <row r="33" spans="1:36" s="48" customFormat="1" ht="28.5" customHeight="1" x14ac:dyDescent="0.25">
      <c r="A33" s="170"/>
      <c r="B33" s="190" t="s">
        <v>77</v>
      </c>
      <c r="C33" s="192"/>
      <c r="D33" s="45"/>
      <c r="E33" s="46"/>
      <c r="F33" s="47"/>
      <c r="G33" s="41">
        <f t="shared" ref="G33:R33" si="49">+SUBTOTAL(9,G34:G127)</f>
        <v>393980000</v>
      </c>
      <c r="H33" s="41">
        <f t="shared" si="49"/>
        <v>397580000</v>
      </c>
      <c r="I33" s="41">
        <f t="shared" si="49"/>
        <v>0</v>
      </c>
      <c r="J33" s="41">
        <f t="shared" si="49"/>
        <v>0</v>
      </c>
      <c r="K33" s="41">
        <f t="shared" si="49"/>
        <v>91000000</v>
      </c>
      <c r="L33" s="41">
        <f t="shared" si="49"/>
        <v>0</v>
      </c>
      <c r="M33" s="41">
        <f t="shared" si="49"/>
        <v>0</v>
      </c>
      <c r="N33" s="41">
        <f t="shared" si="49"/>
        <v>0</v>
      </c>
      <c r="O33" s="41">
        <f t="shared" si="49"/>
        <v>7500000</v>
      </c>
      <c r="P33" s="41">
        <f t="shared" si="49"/>
        <v>98500000</v>
      </c>
      <c r="Q33" s="41">
        <f t="shared" si="49"/>
        <v>420420000</v>
      </c>
      <c r="R33" s="41">
        <f t="shared" si="49"/>
        <v>2219</v>
      </c>
      <c r="S33" s="160"/>
      <c r="T33" s="41">
        <f t="shared" ref="T33:AI33" si="50">+SUBTOTAL(9,T34:T127)</f>
        <v>903489583</v>
      </c>
      <c r="U33" s="41">
        <f t="shared" si="50"/>
        <v>0</v>
      </c>
      <c r="V33" s="41">
        <f t="shared" si="50"/>
        <v>0</v>
      </c>
      <c r="W33" s="41">
        <f t="shared" si="50"/>
        <v>903489583</v>
      </c>
      <c r="X33" s="41">
        <f t="shared" si="50"/>
        <v>1034000000</v>
      </c>
      <c r="Y33" s="41">
        <f t="shared" si="50"/>
        <v>32</v>
      </c>
      <c r="Z33" s="41">
        <f t="shared" si="50"/>
        <v>140800000</v>
      </c>
      <c r="AA33" s="41">
        <f t="shared" si="50"/>
        <v>41745900</v>
      </c>
      <c r="AB33" s="41">
        <f t="shared" si="50"/>
        <v>106140000</v>
      </c>
      <c r="AC33" s="41">
        <f t="shared" si="50"/>
        <v>10916875</v>
      </c>
      <c r="AD33" s="41">
        <f t="shared" si="50"/>
        <v>3975800</v>
      </c>
      <c r="AE33" s="41">
        <f t="shared" si="50"/>
        <v>846851008</v>
      </c>
      <c r="AF33" s="41">
        <f t="shared" si="50"/>
        <v>765227758</v>
      </c>
      <c r="AG33" s="41">
        <f t="shared" si="50"/>
        <v>81623250</v>
      </c>
      <c r="AH33" s="41">
        <f t="shared" si="50"/>
        <v>0</v>
      </c>
      <c r="AI33" s="41">
        <f t="shared" si="50"/>
        <v>13</v>
      </c>
      <c r="AJ33" s="167"/>
    </row>
    <row r="34" spans="1:36" s="19" customFormat="1" ht="28.5" customHeight="1" x14ac:dyDescent="0.25">
      <c r="A34" s="23">
        <v>20</v>
      </c>
      <c r="B34" s="172" t="s">
        <v>78</v>
      </c>
      <c r="C34" s="191" t="s">
        <v>478</v>
      </c>
      <c r="D34" s="42" t="s">
        <v>79</v>
      </c>
      <c r="E34" s="26" t="s">
        <v>44</v>
      </c>
      <c r="F34" s="27">
        <v>24</v>
      </c>
      <c r="G34" s="28">
        <v>5000000</v>
      </c>
      <c r="H34" s="28">
        <f t="shared" ref="H34:H111" si="51">+G34+O34</f>
        <v>6000000</v>
      </c>
      <c r="I34" s="28"/>
      <c r="J34" s="28"/>
      <c r="K34" s="28">
        <v>1000000</v>
      </c>
      <c r="L34" s="28">
        <v>0</v>
      </c>
      <c r="M34" s="27"/>
      <c r="N34" s="27"/>
      <c r="O34" s="28">
        <v>1000000</v>
      </c>
      <c r="P34" s="28">
        <f t="shared" ref="P34:P111" si="52">SUM(I34:O34)</f>
        <v>2000000</v>
      </c>
      <c r="Q34" s="28">
        <f>35000000-G34-P34</f>
        <v>28000000</v>
      </c>
      <c r="R34" s="27">
        <v>24</v>
      </c>
      <c r="S34" s="29"/>
      <c r="T34" s="30">
        <f t="shared" ref="T34:T63" si="53">ROUND((G34+P34+Q34)/F34*R34,0)</f>
        <v>35000000</v>
      </c>
      <c r="U34" s="28">
        <f t="shared" ref="U34:U63" si="54">+I34</f>
        <v>0</v>
      </c>
      <c r="V34" s="28">
        <f t="shared" ref="V34:V63" si="55">+N34</f>
        <v>0</v>
      </c>
      <c r="W34" s="28">
        <f t="shared" ref="W34:W62" si="56">+T34-U34-V34</f>
        <v>35000000</v>
      </c>
      <c r="X34" s="28">
        <v>11000000</v>
      </c>
      <c r="Y34" s="30">
        <v>2</v>
      </c>
      <c r="Z34" s="28">
        <f t="shared" ref="Z34:Z111" si="57">4400000*Y34</f>
        <v>8800000</v>
      </c>
      <c r="AA34" s="28">
        <f t="shared" ref="AA34:AA63" si="58">ROUND(H34*10.5%,0)</f>
        <v>630000</v>
      </c>
      <c r="AB34" s="31">
        <f t="shared" si="28"/>
        <v>14570000</v>
      </c>
      <c r="AC34" s="32">
        <f t="shared" si="29"/>
        <v>1435500</v>
      </c>
      <c r="AD34" s="32">
        <f t="shared" ref="AD34:AD63" si="59">ROUND(H34*1%,0)</f>
        <v>60000</v>
      </c>
      <c r="AE34" s="28">
        <f t="shared" ref="AE34:AE64" si="60">ROUND(T34-AA34-AC34-AD34,0)</f>
        <v>32874500</v>
      </c>
      <c r="AF34" s="28">
        <v>20000000</v>
      </c>
      <c r="AG34" s="35">
        <f t="shared" si="26"/>
        <v>12874500</v>
      </c>
      <c r="AH34" s="28"/>
      <c r="AI34" s="33">
        <f t="shared" ref="AI34:AI64" si="61">+IF(AC34&gt;0,1,0)</f>
        <v>1</v>
      </c>
      <c r="AJ34" s="22" t="s">
        <v>80</v>
      </c>
    </row>
    <row r="35" spans="1:36" s="19" customFormat="1" ht="28.5" customHeight="1" x14ac:dyDescent="0.25">
      <c r="A35" s="23">
        <v>21</v>
      </c>
      <c r="B35" s="172" t="s">
        <v>81</v>
      </c>
      <c r="C35" s="191" t="s">
        <v>479</v>
      </c>
      <c r="D35" s="42" t="s">
        <v>82</v>
      </c>
      <c r="E35" s="26" t="s">
        <v>44</v>
      </c>
      <c r="F35" s="27">
        <v>24</v>
      </c>
      <c r="G35" s="28">
        <v>5000000</v>
      </c>
      <c r="H35" s="28">
        <f t="shared" si="51"/>
        <v>5500000</v>
      </c>
      <c r="I35" s="28"/>
      <c r="J35" s="28"/>
      <c r="K35" s="28">
        <v>1000000</v>
      </c>
      <c r="L35" s="28">
        <v>0</v>
      </c>
      <c r="M35" s="27"/>
      <c r="N35" s="27"/>
      <c r="O35" s="28">
        <v>500000</v>
      </c>
      <c r="P35" s="28">
        <f t="shared" si="52"/>
        <v>1500000</v>
      </c>
      <c r="Q35" s="28">
        <f>20000000-G35-P35</f>
        <v>13500000</v>
      </c>
      <c r="R35" s="27">
        <v>24</v>
      </c>
      <c r="S35" s="29"/>
      <c r="T35" s="30">
        <f t="shared" si="53"/>
        <v>20000000</v>
      </c>
      <c r="U35" s="28">
        <f t="shared" si="54"/>
        <v>0</v>
      </c>
      <c r="V35" s="28">
        <f t="shared" si="55"/>
        <v>0</v>
      </c>
      <c r="W35" s="28">
        <f t="shared" si="56"/>
        <v>20000000</v>
      </c>
      <c r="X35" s="28">
        <v>11000000</v>
      </c>
      <c r="Y35" s="30">
        <v>2</v>
      </c>
      <c r="Z35" s="28">
        <f t="shared" si="57"/>
        <v>8800000</v>
      </c>
      <c r="AA35" s="28">
        <f t="shared" si="58"/>
        <v>577500</v>
      </c>
      <c r="AB35" s="31">
        <f t="shared" si="28"/>
        <v>0</v>
      </c>
      <c r="AC35" s="32">
        <f t="shared" si="29"/>
        <v>0</v>
      </c>
      <c r="AD35" s="32">
        <f t="shared" si="59"/>
        <v>55000</v>
      </c>
      <c r="AE35" s="28">
        <f t="shared" si="60"/>
        <v>19367500</v>
      </c>
      <c r="AF35" s="28">
        <f>+AE35</f>
        <v>19367500</v>
      </c>
      <c r="AG35" s="35">
        <f t="shared" si="26"/>
        <v>0</v>
      </c>
      <c r="AH35" s="28"/>
      <c r="AI35" s="33">
        <f t="shared" si="61"/>
        <v>0</v>
      </c>
      <c r="AJ35" s="22" t="s">
        <v>83</v>
      </c>
    </row>
    <row r="36" spans="1:36" s="19" customFormat="1" ht="28.5" customHeight="1" x14ac:dyDescent="0.25">
      <c r="A36" s="23">
        <v>22</v>
      </c>
      <c r="B36" s="172" t="s">
        <v>84</v>
      </c>
      <c r="C36" s="191" t="s">
        <v>480</v>
      </c>
      <c r="D36" s="42" t="s">
        <v>82</v>
      </c>
      <c r="E36" s="26" t="s">
        <v>44</v>
      </c>
      <c r="F36" s="27">
        <v>24</v>
      </c>
      <c r="G36" s="28">
        <v>5000000</v>
      </c>
      <c r="H36" s="28">
        <f t="shared" si="51"/>
        <v>5500000</v>
      </c>
      <c r="I36" s="28"/>
      <c r="J36" s="28"/>
      <c r="K36" s="28">
        <v>1000000</v>
      </c>
      <c r="L36" s="28">
        <v>0</v>
      </c>
      <c r="M36" s="27"/>
      <c r="N36" s="27"/>
      <c r="O36" s="28">
        <v>500000</v>
      </c>
      <c r="P36" s="28">
        <f t="shared" si="52"/>
        <v>1500000</v>
      </c>
      <c r="Q36" s="28">
        <f>27000000-G36-P36</f>
        <v>20500000</v>
      </c>
      <c r="R36" s="27">
        <v>24</v>
      </c>
      <c r="S36" s="29"/>
      <c r="T36" s="30">
        <f t="shared" si="53"/>
        <v>27000000</v>
      </c>
      <c r="U36" s="28">
        <f t="shared" si="54"/>
        <v>0</v>
      </c>
      <c r="V36" s="28">
        <f t="shared" si="55"/>
        <v>0</v>
      </c>
      <c r="W36" s="28">
        <f t="shared" si="56"/>
        <v>27000000</v>
      </c>
      <c r="X36" s="28">
        <v>11000000</v>
      </c>
      <c r="Y36" s="30">
        <v>2</v>
      </c>
      <c r="Z36" s="28">
        <f t="shared" si="57"/>
        <v>8800000</v>
      </c>
      <c r="AA36" s="28">
        <f t="shared" si="58"/>
        <v>577500</v>
      </c>
      <c r="AB36" s="31">
        <f t="shared" si="28"/>
        <v>6622500</v>
      </c>
      <c r="AC36" s="32">
        <f t="shared" si="29"/>
        <v>412250</v>
      </c>
      <c r="AD36" s="32">
        <f t="shared" si="59"/>
        <v>55000</v>
      </c>
      <c r="AE36" s="28">
        <f t="shared" si="60"/>
        <v>25955250</v>
      </c>
      <c r="AF36" s="28">
        <v>20000000</v>
      </c>
      <c r="AG36" s="35">
        <f t="shared" si="26"/>
        <v>5955250</v>
      </c>
      <c r="AH36" s="28"/>
      <c r="AI36" s="33">
        <f t="shared" si="61"/>
        <v>1</v>
      </c>
      <c r="AJ36" s="22" t="s">
        <v>85</v>
      </c>
    </row>
    <row r="37" spans="1:36" s="19" customFormat="1" ht="28.5" customHeight="1" x14ac:dyDescent="0.25">
      <c r="A37" s="23">
        <v>23</v>
      </c>
      <c r="B37" s="172" t="s">
        <v>86</v>
      </c>
      <c r="C37" s="191" t="s">
        <v>481</v>
      </c>
      <c r="D37" s="42" t="s">
        <v>87</v>
      </c>
      <c r="E37" s="26" t="s">
        <v>44</v>
      </c>
      <c r="F37" s="27">
        <v>24</v>
      </c>
      <c r="G37" s="28">
        <v>5000000</v>
      </c>
      <c r="H37" s="28">
        <f t="shared" si="51"/>
        <v>5000000</v>
      </c>
      <c r="I37" s="28"/>
      <c r="J37" s="28"/>
      <c r="K37" s="28">
        <v>1000000</v>
      </c>
      <c r="L37" s="28">
        <v>0</v>
      </c>
      <c r="M37" s="28"/>
      <c r="N37" s="28"/>
      <c r="O37" s="28"/>
      <c r="P37" s="28">
        <f t="shared" si="52"/>
        <v>1000000</v>
      </c>
      <c r="Q37" s="28">
        <f>13000000-G37-P37</f>
        <v>7000000</v>
      </c>
      <c r="R37" s="27">
        <v>24</v>
      </c>
      <c r="S37" s="29"/>
      <c r="T37" s="30">
        <f t="shared" si="53"/>
        <v>13000000</v>
      </c>
      <c r="U37" s="28">
        <f t="shared" si="54"/>
        <v>0</v>
      </c>
      <c r="V37" s="28">
        <f t="shared" si="55"/>
        <v>0</v>
      </c>
      <c r="W37" s="28">
        <f t="shared" si="56"/>
        <v>13000000</v>
      </c>
      <c r="X37" s="28">
        <v>11000000</v>
      </c>
      <c r="Y37" s="30">
        <v>1</v>
      </c>
      <c r="Z37" s="28">
        <f t="shared" si="57"/>
        <v>4400000</v>
      </c>
      <c r="AA37" s="28">
        <f t="shared" si="58"/>
        <v>525000</v>
      </c>
      <c r="AB37" s="31">
        <f t="shared" si="28"/>
        <v>0</v>
      </c>
      <c r="AC37" s="32">
        <f t="shared" si="29"/>
        <v>0</v>
      </c>
      <c r="AD37" s="32">
        <f t="shared" si="59"/>
        <v>50000</v>
      </c>
      <c r="AE37" s="28">
        <f t="shared" si="60"/>
        <v>12425000</v>
      </c>
      <c r="AF37" s="28">
        <f t="shared" ref="AF37:AF57" si="62">+AE37</f>
        <v>12425000</v>
      </c>
      <c r="AG37" s="35">
        <f t="shared" si="26"/>
        <v>0</v>
      </c>
      <c r="AH37" s="28"/>
      <c r="AI37" s="35">
        <f t="shared" si="61"/>
        <v>0</v>
      </c>
      <c r="AJ37" s="22" t="s">
        <v>88</v>
      </c>
    </row>
    <row r="38" spans="1:36" s="19" customFormat="1" ht="28.5" customHeight="1" x14ac:dyDescent="0.25">
      <c r="A38" s="23">
        <v>24</v>
      </c>
      <c r="B38" s="172" t="s">
        <v>89</v>
      </c>
      <c r="C38" s="191" t="s">
        <v>482</v>
      </c>
      <c r="D38" s="42" t="s">
        <v>87</v>
      </c>
      <c r="E38" s="26" t="s">
        <v>44</v>
      </c>
      <c r="F38" s="27">
        <v>24</v>
      </c>
      <c r="G38" s="28">
        <v>5000000</v>
      </c>
      <c r="H38" s="28">
        <f t="shared" si="51"/>
        <v>5000000</v>
      </c>
      <c r="I38" s="28"/>
      <c r="J38" s="28"/>
      <c r="K38" s="28">
        <v>1000000</v>
      </c>
      <c r="L38" s="28">
        <v>0</v>
      </c>
      <c r="M38" s="28"/>
      <c r="N38" s="28"/>
      <c r="O38" s="28"/>
      <c r="P38" s="28">
        <f t="shared" si="52"/>
        <v>1000000</v>
      </c>
      <c r="Q38" s="28">
        <f>14000000-G38-P38</f>
        <v>8000000</v>
      </c>
      <c r="R38" s="27">
        <v>24</v>
      </c>
      <c r="S38" s="29"/>
      <c r="T38" s="187">
        <f t="shared" si="53"/>
        <v>14000000</v>
      </c>
      <c r="U38" s="28">
        <f t="shared" si="54"/>
        <v>0</v>
      </c>
      <c r="V38" s="28">
        <f t="shared" si="55"/>
        <v>0</v>
      </c>
      <c r="W38" s="28">
        <f t="shared" si="56"/>
        <v>14000000</v>
      </c>
      <c r="X38" s="28">
        <v>11000000</v>
      </c>
      <c r="Y38" s="30">
        <v>1</v>
      </c>
      <c r="Z38" s="28">
        <f t="shared" si="57"/>
        <v>4400000</v>
      </c>
      <c r="AA38" s="28">
        <f t="shared" si="58"/>
        <v>525000</v>
      </c>
      <c r="AB38" s="31">
        <f t="shared" si="28"/>
        <v>0</v>
      </c>
      <c r="AC38" s="32">
        <f t="shared" si="29"/>
        <v>0</v>
      </c>
      <c r="AD38" s="32">
        <f t="shared" si="59"/>
        <v>50000</v>
      </c>
      <c r="AE38" s="28">
        <f t="shared" si="60"/>
        <v>13425000</v>
      </c>
      <c r="AF38" s="28">
        <f t="shared" si="62"/>
        <v>13425000</v>
      </c>
      <c r="AG38" s="35">
        <f t="shared" si="26"/>
        <v>0</v>
      </c>
      <c r="AH38" s="28"/>
      <c r="AI38" s="35">
        <f t="shared" si="61"/>
        <v>0</v>
      </c>
      <c r="AJ38" s="22" t="s">
        <v>90</v>
      </c>
    </row>
    <row r="39" spans="1:36" s="19" customFormat="1" ht="28.5" customHeight="1" x14ac:dyDescent="0.25">
      <c r="A39" s="23">
        <v>25</v>
      </c>
      <c r="B39" s="172" t="s">
        <v>91</v>
      </c>
      <c r="C39" s="191" t="s">
        <v>483</v>
      </c>
      <c r="D39" s="42" t="s">
        <v>87</v>
      </c>
      <c r="E39" s="26" t="s">
        <v>44</v>
      </c>
      <c r="F39" s="27">
        <v>24</v>
      </c>
      <c r="G39" s="28">
        <v>5000000</v>
      </c>
      <c r="H39" s="28">
        <f t="shared" si="51"/>
        <v>5000000</v>
      </c>
      <c r="I39" s="28"/>
      <c r="J39" s="28"/>
      <c r="K39" s="28">
        <v>1000000</v>
      </c>
      <c r="L39" s="28">
        <v>0</v>
      </c>
      <c r="M39" s="28"/>
      <c r="N39" s="28"/>
      <c r="O39" s="28"/>
      <c r="P39" s="28">
        <f t="shared" si="52"/>
        <v>1000000</v>
      </c>
      <c r="Q39" s="28">
        <f>8300000-G39-P39</f>
        <v>2300000</v>
      </c>
      <c r="R39" s="27">
        <v>24</v>
      </c>
      <c r="S39" s="29"/>
      <c r="T39" s="187">
        <f t="shared" si="53"/>
        <v>8300000</v>
      </c>
      <c r="U39" s="28">
        <f t="shared" si="54"/>
        <v>0</v>
      </c>
      <c r="V39" s="28">
        <f t="shared" si="55"/>
        <v>0</v>
      </c>
      <c r="W39" s="28">
        <f t="shared" si="56"/>
        <v>8300000</v>
      </c>
      <c r="X39" s="28">
        <v>11000000</v>
      </c>
      <c r="Y39" s="30"/>
      <c r="Z39" s="28"/>
      <c r="AA39" s="28">
        <f t="shared" si="58"/>
        <v>525000</v>
      </c>
      <c r="AB39" s="31">
        <f t="shared" si="28"/>
        <v>0</v>
      </c>
      <c r="AC39" s="32">
        <f t="shared" si="29"/>
        <v>0</v>
      </c>
      <c r="AD39" s="32">
        <f t="shared" si="59"/>
        <v>50000</v>
      </c>
      <c r="AE39" s="28">
        <f t="shared" si="60"/>
        <v>7725000</v>
      </c>
      <c r="AF39" s="28">
        <f t="shared" si="62"/>
        <v>7725000</v>
      </c>
      <c r="AG39" s="35">
        <f t="shared" si="26"/>
        <v>0</v>
      </c>
      <c r="AH39" s="28"/>
      <c r="AI39" s="35">
        <f t="shared" si="61"/>
        <v>0</v>
      </c>
      <c r="AJ39" s="22" t="s">
        <v>92</v>
      </c>
    </row>
    <row r="40" spans="1:36" s="19" customFormat="1" ht="28.5" customHeight="1" x14ac:dyDescent="0.25">
      <c r="A40" s="23">
        <v>26</v>
      </c>
      <c r="B40" s="172" t="s">
        <v>93</v>
      </c>
      <c r="C40" s="191" t="s">
        <v>484</v>
      </c>
      <c r="D40" s="42" t="s">
        <v>87</v>
      </c>
      <c r="E40" s="26" t="s">
        <v>57</v>
      </c>
      <c r="F40" s="27">
        <v>24</v>
      </c>
      <c r="G40" s="28">
        <v>3900000</v>
      </c>
      <c r="H40" s="28"/>
      <c r="I40" s="28"/>
      <c r="J40" s="28"/>
      <c r="K40" s="28">
        <v>1000000</v>
      </c>
      <c r="L40" s="28">
        <v>0</v>
      </c>
      <c r="M40" s="28"/>
      <c r="N40" s="28"/>
      <c r="O40" s="28"/>
      <c r="P40" s="28">
        <f t="shared" si="52"/>
        <v>1000000</v>
      </c>
      <c r="Q40" s="28">
        <f>6600000-G40-P40</f>
        <v>1700000</v>
      </c>
      <c r="R40" s="27">
        <v>6.5</v>
      </c>
      <c r="S40" s="29"/>
      <c r="T40" s="30">
        <f t="shared" si="53"/>
        <v>1787500</v>
      </c>
      <c r="U40" s="28">
        <f t="shared" si="54"/>
        <v>0</v>
      </c>
      <c r="V40" s="28">
        <f t="shared" si="55"/>
        <v>0</v>
      </c>
      <c r="W40" s="28">
        <f t="shared" si="56"/>
        <v>1787500</v>
      </c>
      <c r="X40" s="28">
        <v>11000000</v>
      </c>
      <c r="Y40" s="30"/>
      <c r="Z40" s="28"/>
      <c r="AA40" s="28">
        <f t="shared" si="58"/>
        <v>0</v>
      </c>
      <c r="AB40" s="31">
        <f t="shared" si="28"/>
        <v>0</v>
      </c>
      <c r="AC40" s="32">
        <f t="shared" si="29"/>
        <v>0</v>
      </c>
      <c r="AD40" s="32">
        <f t="shared" si="59"/>
        <v>0</v>
      </c>
      <c r="AE40" s="28">
        <f t="shared" si="60"/>
        <v>1787500</v>
      </c>
      <c r="AF40" s="28">
        <f t="shared" si="62"/>
        <v>1787500</v>
      </c>
      <c r="AG40" s="35">
        <f t="shared" si="26"/>
        <v>0</v>
      </c>
      <c r="AH40" s="28"/>
      <c r="AI40" s="35">
        <f t="shared" si="61"/>
        <v>0</v>
      </c>
      <c r="AJ40" s="43" t="s">
        <v>94</v>
      </c>
    </row>
    <row r="41" spans="1:36" s="19" customFormat="1" ht="28.5" customHeight="1" x14ac:dyDescent="0.25">
      <c r="A41" s="23">
        <v>27</v>
      </c>
      <c r="B41" s="172" t="s">
        <v>95</v>
      </c>
      <c r="C41" s="191" t="s">
        <v>485</v>
      </c>
      <c r="D41" s="42" t="s">
        <v>87</v>
      </c>
      <c r="E41" s="26" t="s">
        <v>57</v>
      </c>
      <c r="F41" s="27">
        <v>24</v>
      </c>
      <c r="G41" s="28">
        <v>3900000</v>
      </c>
      <c r="H41" s="28">
        <f t="shared" si="51"/>
        <v>3900000</v>
      </c>
      <c r="I41" s="28"/>
      <c r="J41" s="28"/>
      <c r="K41" s="28">
        <v>1000000</v>
      </c>
      <c r="L41" s="28">
        <v>0</v>
      </c>
      <c r="M41" s="28"/>
      <c r="N41" s="28"/>
      <c r="O41" s="28"/>
      <c r="P41" s="28">
        <f t="shared" si="52"/>
        <v>1000000</v>
      </c>
      <c r="Q41" s="28">
        <f>7100000-G41-P41</f>
        <v>2200000</v>
      </c>
      <c r="R41" s="27">
        <v>24</v>
      </c>
      <c r="S41" s="29"/>
      <c r="T41" s="187">
        <f t="shared" si="53"/>
        <v>7100000</v>
      </c>
      <c r="U41" s="28">
        <f t="shared" si="54"/>
        <v>0</v>
      </c>
      <c r="V41" s="28">
        <f t="shared" si="55"/>
        <v>0</v>
      </c>
      <c r="W41" s="28">
        <f t="shared" si="56"/>
        <v>7100000</v>
      </c>
      <c r="X41" s="28">
        <v>11000000</v>
      </c>
      <c r="Y41" s="30"/>
      <c r="Z41" s="28"/>
      <c r="AA41" s="28">
        <f t="shared" si="58"/>
        <v>409500</v>
      </c>
      <c r="AB41" s="31">
        <f t="shared" si="28"/>
        <v>0</v>
      </c>
      <c r="AC41" s="32">
        <f t="shared" si="29"/>
        <v>0</v>
      </c>
      <c r="AD41" s="32">
        <f t="shared" si="59"/>
        <v>39000</v>
      </c>
      <c r="AE41" s="28">
        <f t="shared" si="60"/>
        <v>6651500</v>
      </c>
      <c r="AF41" s="28">
        <f t="shared" si="62"/>
        <v>6651500</v>
      </c>
      <c r="AG41" s="35">
        <f t="shared" si="26"/>
        <v>0</v>
      </c>
      <c r="AH41" s="28"/>
      <c r="AI41" s="35">
        <f t="shared" si="61"/>
        <v>0</v>
      </c>
      <c r="AJ41" s="43" t="s">
        <v>96</v>
      </c>
    </row>
    <row r="42" spans="1:36" s="19" customFormat="1" ht="28.5" customHeight="1" x14ac:dyDescent="0.25">
      <c r="A42" s="23">
        <v>28</v>
      </c>
      <c r="B42" s="172" t="s">
        <v>97</v>
      </c>
      <c r="C42" s="191" t="s">
        <v>486</v>
      </c>
      <c r="D42" s="42" t="s">
        <v>87</v>
      </c>
      <c r="E42" s="26" t="s">
        <v>57</v>
      </c>
      <c r="F42" s="27">
        <v>24</v>
      </c>
      <c r="G42" s="28">
        <v>3900000</v>
      </c>
      <c r="H42" s="28">
        <f t="shared" si="51"/>
        <v>3900000</v>
      </c>
      <c r="I42" s="28"/>
      <c r="J42" s="28"/>
      <c r="K42" s="28">
        <v>1000000</v>
      </c>
      <c r="L42" s="28">
        <v>0</v>
      </c>
      <c r="M42" s="28"/>
      <c r="N42" s="28"/>
      <c r="O42" s="28"/>
      <c r="P42" s="28">
        <f t="shared" si="52"/>
        <v>1000000</v>
      </c>
      <c r="Q42" s="28">
        <f>7300000-G42-P42</f>
        <v>2400000</v>
      </c>
      <c r="R42" s="27">
        <v>24</v>
      </c>
      <c r="S42" s="29"/>
      <c r="T42" s="187">
        <f t="shared" si="53"/>
        <v>7300000</v>
      </c>
      <c r="U42" s="28">
        <f t="shared" si="54"/>
        <v>0</v>
      </c>
      <c r="V42" s="28">
        <f t="shared" si="55"/>
        <v>0</v>
      </c>
      <c r="W42" s="28">
        <f t="shared" si="56"/>
        <v>7300000</v>
      </c>
      <c r="X42" s="28">
        <v>11000000</v>
      </c>
      <c r="Y42" s="30"/>
      <c r="Z42" s="28"/>
      <c r="AA42" s="28">
        <f t="shared" si="58"/>
        <v>409500</v>
      </c>
      <c r="AB42" s="31">
        <f t="shared" si="28"/>
        <v>0</v>
      </c>
      <c r="AC42" s="32">
        <f t="shared" si="29"/>
        <v>0</v>
      </c>
      <c r="AD42" s="32">
        <f t="shared" si="59"/>
        <v>39000</v>
      </c>
      <c r="AE42" s="28">
        <f t="shared" si="60"/>
        <v>6851500</v>
      </c>
      <c r="AF42" s="28">
        <f t="shared" si="62"/>
        <v>6851500</v>
      </c>
      <c r="AG42" s="35">
        <f t="shared" si="26"/>
        <v>0</v>
      </c>
      <c r="AH42" s="28"/>
      <c r="AI42" s="35">
        <f t="shared" si="61"/>
        <v>0</v>
      </c>
      <c r="AJ42" s="43" t="s">
        <v>98</v>
      </c>
    </row>
    <row r="43" spans="1:36" s="19" customFormat="1" ht="28.5" customHeight="1" x14ac:dyDescent="0.25">
      <c r="A43" s="23">
        <v>29</v>
      </c>
      <c r="B43" s="172" t="s">
        <v>99</v>
      </c>
      <c r="C43" s="191" t="s">
        <v>487</v>
      </c>
      <c r="D43" s="42" t="s">
        <v>87</v>
      </c>
      <c r="E43" s="26" t="s">
        <v>57</v>
      </c>
      <c r="F43" s="27">
        <v>24</v>
      </c>
      <c r="G43" s="28">
        <v>3900000</v>
      </c>
      <c r="H43" s="28">
        <f t="shared" si="51"/>
        <v>3900000</v>
      </c>
      <c r="I43" s="28"/>
      <c r="J43" s="28"/>
      <c r="K43" s="28">
        <v>1000000</v>
      </c>
      <c r="L43" s="28">
        <v>0</v>
      </c>
      <c r="M43" s="28"/>
      <c r="N43" s="28"/>
      <c r="O43" s="28"/>
      <c r="P43" s="28">
        <f t="shared" si="52"/>
        <v>1000000</v>
      </c>
      <c r="Q43" s="28">
        <f>6500000-G43-P43</f>
        <v>1600000</v>
      </c>
      <c r="R43" s="27">
        <v>24</v>
      </c>
      <c r="S43" s="29"/>
      <c r="T43" s="30">
        <f t="shared" si="53"/>
        <v>6500000</v>
      </c>
      <c r="U43" s="28">
        <f t="shared" si="54"/>
        <v>0</v>
      </c>
      <c r="V43" s="28">
        <f t="shared" si="55"/>
        <v>0</v>
      </c>
      <c r="W43" s="28">
        <f t="shared" si="56"/>
        <v>6500000</v>
      </c>
      <c r="X43" s="28">
        <v>11000000</v>
      </c>
      <c r="Y43" s="30"/>
      <c r="Z43" s="28"/>
      <c r="AA43" s="28">
        <f t="shared" si="58"/>
        <v>409500</v>
      </c>
      <c r="AB43" s="31">
        <f t="shared" si="28"/>
        <v>0</v>
      </c>
      <c r="AC43" s="32">
        <f t="shared" si="29"/>
        <v>0</v>
      </c>
      <c r="AD43" s="32">
        <f t="shared" si="59"/>
        <v>39000</v>
      </c>
      <c r="AE43" s="28">
        <f t="shared" si="60"/>
        <v>6051500</v>
      </c>
      <c r="AF43" s="28">
        <f t="shared" si="62"/>
        <v>6051500</v>
      </c>
      <c r="AG43" s="35">
        <f t="shared" si="26"/>
        <v>0</v>
      </c>
      <c r="AH43" s="28"/>
      <c r="AI43" s="35">
        <f t="shared" si="61"/>
        <v>0</v>
      </c>
      <c r="AJ43" s="43" t="s">
        <v>100</v>
      </c>
    </row>
    <row r="44" spans="1:36" s="19" customFormat="1" ht="28.5" customHeight="1" x14ac:dyDescent="0.25">
      <c r="A44" s="23">
        <v>30</v>
      </c>
      <c r="B44" s="172" t="s">
        <v>101</v>
      </c>
      <c r="C44" s="191" t="s">
        <v>488</v>
      </c>
      <c r="D44" s="42" t="s">
        <v>87</v>
      </c>
      <c r="E44" s="26" t="s">
        <v>57</v>
      </c>
      <c r="F44" s="27">
        <v>24</v>
      </c>
      <c r="G44" s="28">
        <v>3900000</v>
      </c>
      <c r="H44" s="28">
        <f t="shared" si="51"/>
        <v>3900000</v>
      </c>
      <c r="I44" s="28"/>
      <c r="J44" s="28"/>
      <c r="K44" s="28">
        <v>1000000</v>
      </c>
      <c r="L44" s="28">
        <v>0</v>
      </c>
      <c r="M44" s="28"/>
      <c r="N44" s="28"/>
      <c r="O44" s="28"/>
      <c r="P44" s="28">
        <f t="shared" si="52"/>
        <v>1000000</v>
      </c>
      <c r="Q44" s="28">
        <f>5500000-G44-P44</f>
        <v>600000</v>
      </c>
      <c r="R44" s="27">
        <v>24</v>
      </c>
      <c r="S44" s="29"/>
      <c r="T44" s="30">
        <f t="shared" si="53"/>
        <v>5500000</v>
      </c>
      <c r="U44" s="28">
        <f t="shared" si="54"/>
        <v>0</v>
      </c>
      <c r="V44" s="28">
        <f t="shared" si="55"/>
        <v>0</v>
      </c>
      <c r="W44" s="28">
        <f t="shared" si="56"/>
        <v>5500000</v>
      </c>
      <c r="X44" s="28">
        <v>11000000</v>
      </c>
      <c r="Y44" s="30"/>
      <c r="Z44" s="28"/>
      <c r="AA44" s="28">
        <f t="shared" si="58"/>
        <v>409500</v>
      </c>
      <c r="AB44" s="31">
        <f t="shared" si="28"/>
        <v>0</v>
      </c>
      <c r="AC44" s="32">
        <f t="shared" si="29"/>
        <v>0</v>
      </c>
      <c r="AD44" s="32">
        <f t="shared" si="59"/>
        <v>39000</v>
      </c>
      <c r="AE44" s="28">
        <f t="shared" si="60"/>
        <v>5051500</v>
      </c>
      <c r="AF44" s="28">
        <f t="shared" si="62"/>
        <v>5051500</v>
      </c>
      <c r="AG44" s="35">
        <f t="shared" si="26"/>
        <v>0</v>
      </c>
      <c r="AH44" s="28"/>
      <c r="AI44" s="35">
        <f t="shared" si="61"/>
        <v>0</v>
      </c>
      <c r="AJ44" s="43" t="s">
        <v>102</v>
      </c>
    </row>
    <row r="45" spans="1:36" s="19" customFormat="1" ht="28.5" customHeight="1" x14ac:dyDescent="0.25">
      <c r="A45" s="23">
        <v>31</v>
      </c>
      <c r="B45" s="172" t="s">
        <v>103</v>
      </c>
      <c r="C45" s="191" t="s">
        <v>489</v>
      </c>
      <c r="D45" s="42" t="s">
        <v>87</v>
      </c>
      <c r="E45" s="26" t="s">
        <v>57</v>
      </c>
      <c r="F45" s="27">
        <v>24</v>
      </c>
      <c r="G45" s="28">
        <v>3900000</v>
      </c>
      <c r="H45" s="28">
        <f t="shared" si="51"/>
        <v>3900000</v>
      </c>
      <c r="I45" s="28"/>
      <c r="J45" s="28"/>
      <c r="K45" s="28">
        <v>1000000</v>
      </c>
      <c r="L45" s="28">
        <v>0</v>
      </c>
      <c r="M45" s="28"/>
      <c r="N45" s="28"/>
      <c r="O45" s="28"/>
      <c r="P45" s="28">
        <f t="shared" si="52"/>
        <v>1000000</v>
      </c>
      <c r="Q45" s="28">
        <f>6800000-G45-P45</f>
        <v>1900000</v>
      </c>
      <c r="R45" s="27">
        <v>24</v>
      </c>
      <c r="S45" s="29"/>
      <c r="T45" s="187">
        <f t="shared" si="53"/>
        <v>6800000</v>
      </c>
      <c r="U45" s="28">
        <f t="shared" si="54"/>
        <v>0</v>
      </c>
      <c r="V45" s="28">
        <f t="shared" si="55"/>
        <v>0</v>
      </c>
      <c r="W45" s="28">
        <f t="shared" si="56"/>
        <v>6800000</v>
      </c>
      <c r="X45" s="28">
        <v>11000000</v>
      </c>
      <c r="Y45" s="30"/>
      <c r="Z45" s="28"/>
      <c r="AA45" s="28">
        <f t="shared" si="58"/>
        <v>409500</v>
      </c>
      <c r="AB45" s="31">
        <f t="shared" si="28"/>
        <v>0</v>
      </c>
      <c r="AC45" s="32">
        <f t="shared" si="29"/>
        <v>0</v>
      </c>
      <c r="AD45" s="32">
        <f t="shared" si="59"/>
        <v>39000</v>
      </c>
      <c r="AE45" s="28">
        <f t="shared" si="60"/>
        <v>6351500</v>
      </c>
      <c r="AF45" s="28">
        <f t="shared" si="62"/>
        <v>6351500</v>
      </c>
      <c r="AG45" s="35">
        <f t="shared" si="26"/>
        <v>0</v>
      </c>
      <c r="AH45" s="28"/>
      <c r="AI45" s="35">
        <f t="shared" si="61"/>
        <v>0</v>
      </c>
      <c r="AJ45" s="43" t="s">
        <v>104</v>
      </c>
    </row>
    <row r="46" spans="1:36" s="19" customFormat="1" ht="28.5" customHeight="1" x14ac:dyDescent="0.25">
      <c r="A46" s="23">
        <v>32</v>
      </c>
      <c r="B46" s="172" t="s">
        <v>105</v>
      </c>
      <c r="C46" s="191" t="s">
        <v>490</v>
      </c>
      <c r="D46" s="42" t="s">
        <v>87</v>
      </c>
      <c r="E46" s="26" t="s">
        <v>44</v>
      </c>
      <c r="F46" s="27">
        <v>24</v>
      </c>
      <c r="G46" s="28">
        <v>5000000</v>
      </c>
      <c r="H46" s="28">
        <f t="shared" si="51"/>
        <v>5000000</v>
      </c>
      <c r="I46" s="28"/>
      <c r="J46" s="28"/>
      <c r="K46" s="28">
        <v>1000000</v>
      </c>
      <c r="L46" s="28">
        <v>0</v>
      </c>
      <c r="M46" s="28"/>
      <c r="N46" s="28"/>
      <c r="O46" s="28"/>
      <c r="P46" s="28">
        <f t="shared" si="52"/>
        <v>1000000</v>
      </c>
      <c r="Q46" s="28">
        <f>13000000-G46-P46</f>
        <v>7000000</v>
      </c>
      <c r="R46" s="27">
        <v>24</v>
      </c>
      <c r="S46" s="29"/>
      <c r="T46" s="30">
        <f t="shared" si="53"/>
        <v>13000000</v>
      </c>
      <c r="U46" s="28">
        <f t="shared" si="54"/>
        <v>0</v>
      </c>
      <c r="V46" s="28">
        <f t="shared" si="55"/>
        <v>0</v>
      </c>
      <c r="W46" s="28">
        <f t="shared" si="56"/>
        <v>13000000</v>
      </c>
      <c r="X46" s="28">
        <v>11000000</v>
      </c>
      <c r="Y46" s="30"/>
      <c r="Z46" s="28"/>
      <c r="AA46" s="28">
        <f t="shared" si="58"/>
        <v>525000</v>
      </c>
      <c r="AB46" s="31">
        <f t="shared" si="28"/>
        <v>1475000</v>
      </c>
      <c r="AC46" s="32">
        <f t="shared" si="29"/>
        <v>73750</v>
      </c>
      <c r="AD46" s="32">
        <f t="shared" si="59"/>
        <v>50000</v>
      </c>
      <c r="AE46" s="28">
        <f t="shared" si="60"/>
        <v>12351250</v>
      </c>
      <c r="AF46" s="28">
        <f t="shared" si="62"/>
        <v>12351250</v>
      </c>
      <c r="AG46" s="35">
        <f t="shared" si="26"/>
        <v>0</v>
      </c>
      <c r="AH46" s="28"/>
      <c r="AI46" s="35">
        <f t="shared" si="61"/>
        <v>1</v>
      </c>
      <c r="AJ46" s="43" t="s">
        <v>106</v>
      </c>
    </row>
    <row r="47" spans="1:36" s="19" customFormat="1" ht="28.5" customHeight="1" x14ac:dyDescent="0.25">
      <c r="A47" s="23">
        <v>33</v>
      </c>
      <c r="B47" s="172" t="s">
        <v>107</v>
      </c>
      <c r="C47" s="191" t="s">
        <v>491</v>
      </c>
      <c r="D47" s="42" t="s">
        <v>87</v>
      </c>
      <c r="E47" s="26" t="s">
        <v>57</v>
      </c>
      <c r="F47" s="27">
        <v>24</v>
      </c>
      <c r="G47" s="28">
        <v>3900000</v>
      </c>
      <c r="H47" s="28">
        <f t="shared" si="51"/>
        <v>3900000</v>
      </c>
      <c r="I47" s="28"/>
      <c r="J47" s="28"/>
      <c r="K47" s="28">
        <v>1000000</v>
      </c>
      <c r="L47" s="28">
        <v>0</v>
      </c>
      <c r="M47" s="28"/>
      <c r="N47" s="28"/>
      <c r="O47" s="28"/>
      <c r="P47" s="28">
        <f t="shared" si="52"/>
        <v>1000000</v>
      </c>
      <c r="Q47" s="28">
        <f>7000000-G47-P47</f>
        <v>2100000</v>
      </c>
      <c r="R47" s="27">
        <v>24</v>
      </c>
      <c r="S47" s="29"/>
      <c r="T47" s="187">
        <f t="shared" si="53"/>
        <v>7000000</v>
      </c>
      <c r="U47" s="28">
        <f t="shared" si="54"/>
        <v>0</v>
      </c>
      <c r="V47" s="28">
        <f t="shared" si="55"/>
        <v>0</v>
      </c>
      <c r="W47" s="28">
        <f t="shared" si="56"/>
        <v>7000000</v>
      </c>
      <c r="X47" s="28">
        <v>11000000</v>
      </c>
      <c r="Y47" s="30"/>
      <c r="Z47" s="28"/>
      <c r="AA47" s="28">
        <f t="shared" si="58"/>
        <v>409500</v>
      </c>
      <c r="AB47" s="31">
        <f t="shared" si="28"/>
        <v>0</v>
      </c>
      <c r="AC47" s="32">
        <f t="shared" si="29"/>
        <v>0</v>
      </c>
      <c r="AD47" s="32">
        <f t="shared" si="59"/>
        <v>39000</v>
      </c>
      <c r="AE47" s="28">
        <f t="shared" si="60"/>
        <v>6551500</v>
      </c>
      <c r="AF47" s="28">
        <f t="shared" si="62"/>
        <v>6551500</v>
      </c>
      <c r="AG47" s="35">
        <f t="shared" si="26"/>
        <v>0</v>
      </c>
      <c r="AH47" s="28"/>
      <c r="AI47" s="35">
        <f t="shared" si="61"/>
        <v>0</v>
      </c>
      <c r="AJ47" s="43" t="s">
        <v>108</v>
      </c>
    </row>
    <row r="48" spans="1:36" s="19" customFormat="1" ht="28.5" customHeight="1" x14ac:dyDescent="0.25">
      <c r="A48" s="23">
        <v>34</v>
      </c>
      <c r="B48" s="172" t="s">
        <v>109</v>
      </c>
      <c r="C48" s="191" t="s">
        <v>492</v>
      </c>
      <c r="D48" s="42" t="s">
        <v>87</v>
      </c>
      <c r="E48" s="26" t="s">
        <v>57</v>
      </c>
      <c r="F48" s="27">
        <v>24</v>
      </c>
      <c r="G48" s="28">
        <v>3900000</v>
      </c>
      <c r="H48" s="28">
        <f t="shared" si="51"/>
        <v>3900000</v>
      </c>
      <c r="I48" s="28"/>
      <c r="J48" s="28"/>
      <c r="K48" s="28">
        <v>1000000</v>
      </c>
      <c r="L48" s="28">
        <v>0</v>
      </c>
      <c r="M48" s="28"/>
      <c r="N48" s="28"/>
      <c r="O48" s="28"/>
      <c r="P48" s="28">
        <f t="shared" si="52"/>
        <v>1000000</v>
      </c>
      <c r="Q48" s="28">
        <f>5500000-G48-P48</f>
        <v>600000</v>
      </c>
      <c r="R48" s="27">
        <v>24</v>
      </c>
      <c r="S48" s="29"/>
      <c r="T48" s="30">
        <f t="shared" si="53"/>
        <v>5500000</v>
      </c>
      <c r="U48" s="28">
        <f t="shared" si="54"/>
        <v>0</v>
      </c>
      <c r="V48" s="28">
        <f t="shared" si="55"/>
        <v>0</v>
      </c>
      <c r="W48" s="28">
        <f t="shared" si="56"/>
        <v>5500000</v>
      </c>
      <c r="X48" s="28">
        <v>11000000</v>
      </c>
      <c r="Y48" s="30"/>
      <c r="Z48" s="28"/>
      <c r="AA48" s="28">
        <f t="shared" si="58"/>
        <v>409500</v>
      </c>
      <c r="AB48" s="31">
        <f t="shared" si="28"/>
        <v>0</v>
      </c>
      <c r="AC48" s="32">
        <f t="shared" si="29"/>
        <v>0</v>
      </c>
      <c r="AD48" s="32">
        <f t="shared" si="59"/>
        <v>39000</v>
      </c>
      <c r="AE48" s="28">
        <f t="shared" si="60"/>
        <v>5051500</v>
      </c>
      <c r="AF48" s="28">
        <f t="shared" si="62"/>
        <v>5051500</v>
      </c>
      <c r="AG48" s="35">
        <f t="shared" si="26"/>
        <v>0</v>
      </c>
      <c r="AH48" s="28"/>
      <c r="AI48" s="35">
        <f t="shared" si="61"/>
        <v>0</v>
      </c>
      <c r="AJ48" s="43" t="s">
        <v>110</v>
      </c>
    </row>
    <row r="49" spans="1:36" s="19" customFormat="1" ht="28.5" customHeight="1" x14ac:dyDescent="0.25">
      <c r="A49" s="23">
        <v>35</v>
      </c>
      <c r="B49" s="172" t="s">
        <v>111</v>
      </c>
      <c r="C49" s="191" t="s">
        <v>493</v>
      </c>
      <c r="D49" s="42" t="s">
        <v>87</v>
      </c>
      <c r="E49" s="26" t="s">
        <v>57</v>
      </c>
      <c r="F49" s="27">
        <v>24</v>
      </c>
      <c r="G49" s="28">
        <v>3900000</v>
      </c>
      <c r="H49" s="28">
        <f t="shared" si="51"/>
        <v>3900000</v>
      </c>
      <c r="I49" s="28"/>
      <c r="J49" s="28"/>
      <c r="K49" s="28">
        <v>1000000</v>
      </c>
      <c r="L49" s="28">
        <v>0</v>
      </c>
      <c r="M49" s="28"/>
      <c r="N49" s="28"/>
      <c r="O49" s="28"/>
      <c r="P49" s="28">
        <f t="shared" si="52"/>
        <v>1000000</v>
      </c>
      <c r="Q49" s="28">
        <f>6500000-G49-P49</f>
        <v>1600000</v>
      </c>
      <c r="R49" s="27">
        <v>24</v>
      </c>
      <c r="S49" s="29"/>
      <c r="T49" s="30">
        <f t="shared" si="53"/>
        <v>6500000</v>
      </c>
      <c r="U49" s="28">
        <f t="shared" si="54"/>
        <v>0</v>
      </c>
      <c r="V49" s="28">
        <f t="shared" si="55"/>
        <v>0</v>
      </c>
      <c r="W49" s="28">
        <f t="shared" si="56"/>
        <v>6500000</v>
      </c>
      <c r="X49" s="28">
        <v>11000000</v>
      </c>
      <c r="Y49" s="30"/>
      <c r="Z49" s="28"/>
      <c r="AA49" s="28">
        <f t="shared" si="58"/>
        <v>409500</v>
      </c>
      <c r="AB49" s="31">
        <f t="shared" si="28"/>
        <v>0</v>
      </c>
      <c r="AC49" s="32">
        <f t="shared" si="29"/>
        <v>0</v>
      </c>
      <c r="AD49" s="32">
        <f t="shared" si="59"/>
        <v>39000</v>
      </c>
      <c r="AE49" s="28">
        <f t="shared" si="60"/>
        <v>6051500</v>
      </c>
      <c r="AF49" s="28">
        <f t="shared" si="62"/>
        <v>6051500</v>
      </c>
      <c r="AG49" s="35">
        <f t="shared" si="26"/>
        <v>0</v>
      </c>
      <c r="AH49" s="28"/>
      <c r="AI49" s="35">
        <f t="shared" si="61"/>
        <v>0</v>
      </c>
      <c r="AJ49" s="43" t="s">
        <v>112</v>
      </c>
    </row>
    <row r="50" spans="1:36" s="19" customFormat="1" ht="28.5" customHeight="1" x14ac:dyDescent="0.25">
      <c r="A50" s="23">
        <v>36</v>
      </c>
      <c r="B50" s="172" t="s">
        <v>113</v>
      </c>
      <c r="C50" s="191" t="s">
        <v>494</v>
      </c>
      <c r="D50" s="42" t="s">
        <v>87</v>
      </c>
      <c r="E50" s="26" t="s">
        <v>57</v>
      </c>
      <c r="F50" s="27">
        <v>24</v>
      </c>
      <c r="G50" s="28">
        <v>3900000</v>
      </c>
      <c r="H50" s="28">
        <f t="shared" si="51"/>
        <v>3900000</v>
      </c>
      <c r="I50" s="28"/>
      <c r="J50" s="28"/>
      <c r="K50" s="28">
        <v>1000000</v>
      </c>
      <c r="L50" s="28">
        <v>0</v>
      </c>
      <c r="M50" s="28"/>
      <c r="N50" s="28"/>
      <c r="O50" s="28"/>
      <c r="P50" s="28">
        <f t="shared" si="52"/>
        <v>1000000</v>
      </c>
      <c r="Q50" s="28">
        <f>5500000-G50-P50</f>
        <v>600000</v>
      </c>
      <c r="R50" s="27">
        <v>24</v>
      </c>
      <c r="S50" s="29"/>
      <c r="T50" s="30">
        <f t="shared" si="53"/>
        <v>5500000</v>
      </c>
      <c r="U50" s="28">
        <f t="shared" si="54"/>
        <v>0</v>
      </c>
      <c r="V50" s="28">
        <f t="shared" si="55"/>
        <v>0</v>
      </c>
      <c r="W50" s="28">
        <f t="shared" si="56"/>
        <v>5500000</v>
      </c>
      <c r="X50" s="28">
        <v>11000000</v>
      </c>
      <c r="Y50" s="30"/>
      <c r="Z50" s="28"/>
      <c r="AA50" s="28">
        <f t="shared" si="58"/>
        <v>409500</v>
      </c>
      <c r="AB50" s="31">
        <f t="shared" si="28"/>
        <v>0</v>
      </c>
      <c r="AC50" s="32">
        <f t="shared" si="29"/>
        <v>0</v>
      </c>
      <c r="AD50" s="32">
        <f t="shared" si="59"/>
        <v>39000</v>
      </c>
      <c r="AE50" s="28">
        <f t="shared" si="60"/>
        <v>5051500</v>
      </c>
      <c r="AF50" s="28">
        <f t="shared" si="62"/>
        <v>5051500</v>
      </c>
      <c r="AG50" s="35">
        <f t="shared" si="26"/>
        <v>0</v>
      </c>
      <c r="AH50" s="28"/>
      <c r="AI50" s="35">
        <f t="shared" si="61"/>
        <v>0</v>
      </c>
      <c r="AJ50" s="43" t="s">
        <v>114</v>
      </c>
    </row>
    <row r="51" spans="1:36" s="19" customFormat="1" ht="28.5" customHeight="1" x14ac:dyDescent="0.25">
      <c r="A51" s="23">
        <v>37</v>
      </c>
      <c r="B51" s="172" t="s">
        <v>115</v>
      </c>
      <c r="C51" s="191" t="s">
        <v>495</v>
      </c>
      <c r="D51" s="42" t="s">
        <v>87</v>
      </c>
      <c r="E51" s="26" t="s">
        <v>57</v>
      </c>
      <c r="F51" s="27">
        <v>24</v>
      </c>
      <c r="G51" s="28">
        <v>3900000</v>
      </c>
      <c r="H51" s="28">
        <f t="shared" si="51"/>
        <v>3900000</v>
      </c>
      <c r="I51" s="28"/>
      <c r="J51" s="28"/>
      <c r="K51" s="28">
        <v>1000000</v>
      </c>
      <c r="L51" s="28">
        <v>0</v>
      </c>
      <c r="M51" s="28"/>
      <c r="N51" s="28"/>
      <c r="O51" s="28"/>
      <c r="P51" s="28">
        <f t="shared" si="52"/>
        <v>1000000</v>
      </c>
      <c r="Q51" s="28">
        <f>5500000-G51-P51</f>
        <v>600000</v>
      </c>
      <c r="R51" s="27">
        <v>24</v>
      </c>
      <c r="S51" s="29"/>
      <c r="T51" s="30">
        <f t="shared" si="53"/>
        <v>5500000</v>
      </c>
      <c r="U51" s="28">
        <f t="shared" si="54"/>
        <v>0</v>
      </c>
      <c r="V51" s="28">
        <f t="shared" si="55"/>
        <v>0</v>
      </c>
      <c r="W51" s="28">
        <f t="shared" si="56"/>
        <v>5500000</v>
      </c>
      <c r="X51" s="28">
        <v>11000000</v>
      </c>
      <c r="Y51" s="30"/>
      <c r="Z51" s="28"/>
      <c r="AA51" s="28">
        <f t="shared" si="58"/>
        <v>409500</v>
      </c>
      <c r="AB51" s="31">
        <f t="shared" si="28"/>
        <v>0</v>
      </c>
      <c r="AC51" s="32">
        <f t="shared" si="29"/>
        <v>0</v>
      </c>
      <c r="AD51" s="32">
        <f t="shared" si="59"/>
        <v>39000</v>
      </c>
      <c r="AE51" s="28">
        <f t="shared" si="60"/>
        <v>5051500</v>
      </c>
      <c r="AF51" s="28">
        <f t="shared" si="62"/>
        <v>5051500</v>
      </c>
      <c r="AG51" s="35">
        <f t="shared" si="26"/>
        <v>0</v>
      </c>
      <c r="AH51" s="28"/>
      <c r="AI51" s="35">
        <f t="shared" si="61"/>
        <v>0</v>
      </c>
      <c r="AJ51" s="43" t="s">
        <v>116</v>
      </c>
    </row>
    <row r="52" spans="1:36" s="19" customFormat="1" ht="28.5" customHeight="1" x14ac:dyDescent="0.25">
      <c r="A52" s="23">
        <v>38</v>
      </c>
      <c r="B52" s="172" t="s">
        <v>117</v>
      </c>
      <c r="C52" s="191" t="s">
        <v>496</v>
      </c>
      <c r="D52" s="42" t="s">
        <v>87</v>
      </c>
      <c r="E52" s="26" t="s">
        <v>57</v>
      </c>
      <c r="F52" s="27">
        <v>24</v>
      </c>
      <c r="G52" s="28">
        <v>3900000</v>
      </c>
      <c r="H52" s="28">
        <f t="shared" si="51"/>
        <v>3900000</v>
      </c>
      <c r="I52" s="28"/>
      <c r="J52" s="28"/>
      <c r="K52" s="28">
        <v>1000000</v>
      </c>
      <c r="L52" s="28">
        <v>0</v>
      </c>
      <c r="M52" s="28"/>
      <c r="N52" s="28"/>
      <c r="O52" s="28"/>
      <c r="P52" s="28">
        <f t="shared" si="52"/>
        <v>1000000</v>
      </c>
      <c r="Q52" s="28">
        <f>7000000-G52-P52</f>
        <v>2100000</v>
      </c>
      <c r="R52" s="27">
        <v>24</v>
      </c>
      <c r="S52" s="29"/>
      <c r="T52" s="187">
        <f t="shared" si="53"/>
        <v>7000000</v>
      </c>
      <c r="U52" s="28">
        <f t="shared" si="54"/>
        <v>0</v>
      </c>
      <c r="V52" s="28">
        <f t="shared" si="55"/>
        <v>0</v>
      </c>
      <c r="W52" s="28">
        <f t="shared" si="56"/>
        <v>7000000</v>
      </c>
      <c r="X52" s="28">
        <v>11000000</v>
      </c>
      <c r="Y52" s="30"/>
      <c r="Z52" s="28"/>
      <c r="AA52" s="28">
        <f t="shared" si="58"/>
        <v>409500</v>
      </c>
      <c r="AB52" s="31">
        <f t="shared" si="28"/>
        <v>0</v>
      </c>
      <c r="AC52" s="32">
        <f t="shared" si="29"/>
        <v>0</v>
      </c>
      <c r="AD52" s="32">
        <f t="shared" si="59"/>
        <v>39000</v>
      </c>
      <c r="AE52" s="28">
        <f t="shared" si="60"/>
        <v>6551500</v>
      </c>
      <c r="AF52" s="28">
        <f t="shared" si="62"/>
        <v>6551500</v>
      </c>
      <c r="AG52" s="35">
        <f t="shared" si="26"/>
        <v>0</v>
      </c>
      <c r="AH52" s="28"/>
      <c r="AI52" s="35">
        <f t="shared" si="61"/>
        <v>0</v>
      </c>
      <c r="AJ52" s="43" t="s">
        <v>118</v>
      </c>
    </row>
    <row r="53" spans="1:36" s="19" customFormat="1" ht="28.5" customHeight="1" x14ac:dyDescent="0.25">
      <c r="A53" s="23">
        <v>39</v>
      </c>
      <c r="B53" s="172" t="s">
        <v>119</v>
      </c>
      <c r="C53" s="191" t="s">
        <v>497</v>
      </c>
      <c r="D53" s="42" t="s">
        <v>87</v>
      </c>
      <c r="E53" s="26" t="s">
        <v>57</v>
      </c>
      <c r="F53" s="27">
        <v>24</v>
      </c>
      <c r="G53" s="28">
        <v>3900000</v>
      </c>
      <c r="H53" s="28">
        <f t="shared" si="51"/>
        <v>3900000</v>
      </c>
      <c r="I53" s="28"/>
      <c r="J53" s="28"/>
      <c r="K53" s="28">
        <v>1000000</v>
      </c>
      <c r="L53" s="28">
        <v>0</v>
      </c>
      <c r="M53" s="28"/>
      <c r="N53" s="28"/>
      <c r="O53" s="28"/>
      <c r="P53" s="28">
        <f t="shared" si="52"/>
        <v>1000000</v>
      </c>
      <c r="Q53" s="28">
        <f>5500000-G53-P53</f>
        <v>600000</v>
      </c>
      <c r="R53" s="27">
        <v>24</v>
      </c>
      <c r="S53" s="29"/>
      <c r="T53" s="30">
        <f t="shared" si="53"/>
        <v>5500000</v>
      </c>
      <c r="U53" s="28">
        <f t="shared" si="54"/>
        <v>0</v>
      </c>
      <c r="V53" s="28">
        <f t="shared" si="55"/>
        <v>0</v>
      </c>
      <c r="W53" s="28">
        <f t="shared" si="56"/>
        <v>5500000</v>
      </c>
      <c r="X53" s="28">
        <v>11000000</v>
      </c>
      <c r="Y53" s="30"/>
      <c r="Z53" s="28"/>
      <c r="AA53" s="28">
        <f t="shared" si="58"/>
        <v>409500</v>
      </c>
      <c r="AB53" s="31">
        <f t="shared" si="28"/>
        <v>0</v>
      </c>
      <c r="AC53" s="32">
        <f t="shared" si="29"/>
        <v>0</v>
      </c>
      <c r="AD53" s="32">
        <f t="shared" si="59"/>
        <v>39000</v>
      </c>
      <c r="AE53" s="28">
        <f t="shared" si="60"/>
        <v>5051500</v>
      </c>
      <c r="AF53" s="28">
        <f t="shared" si="62"/>
        <v>5051500</v>
      </c>
      <c r="AG53" s="35">
        <f t="shared" si="26"/>
        <v>0</v>
      </c>
      <c r="AH53" s="28"/>
      <c r="AI53" s="35">
        <f t="shared" si="61"/>
        <v>0</v>
      </c>
      <c r="AJ53" s="43" t="s">
        <v>120</v>
      </c>
    </row>
    <row r="54" spans="1:36" s="19" customFormat="1" ht="28.5" customHeight="1" x14ac:dyDescent="0.25">
      <c r="A54" s="23">
        <v>40</v>
      </c>
      <c r="B54" s="172" t="s">
        <v>121</v>
      </c>
      <c r="C54" s="191" t="s">
        <v>498</v>
      </c>
      <c r="D54" s="42" t="s">
        <v>87</v>
      </c>
      <c r="E54" s="26" t="s">
        <v>57</v>
      </c>
      <c r="F54" s="27">
        <v>24</v>
      </c>
      <c r="G54" s="28">
        <v>3900000</v>
      </c>
      <c r="H54" s="28">
        <f t="shared" si="51"/>
        <v>3900000</v>
      </c>
      <c r="I54" s="28"/>
      <c r="J54" s="28"/>
      <c r="K54" s="28">
        <v>1000000</v>
      </c>
      <c r="L54" s="28">
        <v>0</v>
      </c>
      <c r="M54" s="28"/>
      <c r="N54" s="28"/>
      <c r="O54" s="28"/>
      <c r="P54" s="28">
        <f t="shared" si="52"/>
        <v>1000000</v>
      </c>
      <c r="Q54" s="28">
        <f>5500000-G54-P54</f>
        <v>600000</v>
      </c>
      <c r="R54" s="27">
        <v>24</v>
      </c>
      <c r="S54" s="29"/>
      <c r="T54" s="30">
        <f t="shared" si="53"/>
        <v>5500000</v>
      </c>
      <c r="U54" s="28">
        <f t="shared" si="54"/>
        <v>0</v>
      </c>
      <c r="V54" s="28">
        <f t="shared" si="55"/>
        <v>0</v>
      </c>
      <c r="W54" s="28">
        <f t="shared" si="56"/>
        <v>5500000</v>
      </c>
      <c r="X54" s="28">
        <v>11000000</v>
      </c>
      <c r="Y54" s="30"/>
      <c r="Z54" s="28"/>
      <c r="AA54" s="28">
        <f t="shared" si="58"/>
        <v>409500</v>
      </c>
      <c r="AB54" s="31">
        <f t="shared" si="28"/>
        <v>0</v>
      </c>
      <c r="AC54" s="32">
        <f t="shared" si="29"/>
        <v>0</v>
      </c>
      <c r="AD54" s="32">
        <f t="shared" si="59"/>
        <v>39000</v>
      </c>
      <c r="AE54" s="28">
        <f t="shared" si="60"/>
        <v>5051500</v>
      </c>
      <c r="AF54" s="28">
        <f t="shared" si="62"/>
        <v>5051500</v>
      </c>
      <c r="AG54" s="35">
        <f t="shared" si="26"/>
        <v>0</v>
      </c>
      <c r="AH54" s="28"/>
      <c r="AI54" s="35">
        <f t="shared" si="61"/>
        <v>0</v>
      </c>
      <c r="AJ54" s="43" t="s">
        <v>122</v>
      </c>
    </row>
    <row r="55" spans="1:36" s="19" customFormat="1" ht="28.5" customHeight="1" x14ac:dyDescent="0.25">
      <c r="A55" s="23">
        <v>41</v>
      </c>
      <c r="B55" s="172" t="s">
        <v>123</v>
      </c>
      <c r="C55" s="191" t="s">
        <v>499</v>
      </c>
      <c r="D55" s="42" t="s">
        <v>87</v>
      </c>
      <c r="E55" s="26" t="s">
        <v>57</v>
      </c>
      <c r="F55" s="27">
        <v>24</v>
      </c>
      <c r="G55" s="28">
        <v>3900000</v>
      </c>
      <c r="H55" s="28">
        <f t="shared" si="51"/>
        <v>3900000</v>
      </c>
      <c r="I55" s="28"/>
      <c r="J55" s="28"/>
      <c r="K55" s="28">
        <v>1000000</v>
      </c>
      <c r="L55" s="28">
        <v>0</v>
      </c>
      <c r="M55" s="28"/>
      <c r="N55" s="28"/>
      <c r="O55" s="28"/>
      <c r="P55" s="28">
        <f t="shared" si="52"/>
        <v>1000000</v>
      </c>
      <c r="Q55" s="28">
        <f>5500000-G55-P55</f>
        <v>600000</v>
      </c>
      <c r="R55" s="27">
        <v>24</v>
      </c>
      <c r="S55" s="29"/>
      <c r="T55" s="30">
        <f t="shared" si="53"/>
        <v>5500000</v>
      </c>
      <c r="U55" s="28">
        <f t="shared" si="54"/>
        <v>0</v>
      </c>
      <c r="V55" s="28">
        <f t="shared" si="55"/>
        <v>0</v>
      </c>
      <c r="W55" s="28">
        <f t="shared" si="56"/>
        <v>5500000</v>
      </c>
      <c r="X55" s="28">
        <v>11000000</v>
      </c>
      <c r="Y55" s="30"/>
      <c r="Z55" s="28"/>
      <c r="AA55" s="28">
        <f t="shared" si="58"/>
        <v>409500</v>
      </c>
      <c r="AB55" s="31">
        <f t="shared" si="28"/>
        <v>0</v>
      </c>
      <c r="AC55" s="32">
        <f t="shared" si="29"/>
        <v>0</v>
      </c>
      <c r="AD55" s="32">
        <f t="shared" si="59"/>
        <v>39000</v>
      </c>
      <c r="AE55" s="28">
        <f t="shared" si="60"/>
        <v>5051500</v>
      </c>
      <c r="AF55" s="28">
        <f t="shared" si="62"/>
        <v>5051500</v>
      </c>
      <c r="AG55" s="35">
        <f t="shared" si="26"/>
        <v>0</v>
      </c>
      <c r="AH55" s="28"/>
      <c r="AI55" s="35">
        <f t="shared" si="61"/>
        <v>0</v>
      </c>
      <c r="AJ55" s="43" t="s">
        <v>124</v>
      </c>
    </row>
    <row r="56" spans="1:36" s="19" customFormat="1" ht="28.5" customHeight="1" x14ac:dyDescent="0.25">
      <c r="A56" s="23">
        <v>42</v>
      </c>
      <c r="B56" s="172" t="s">
        <v>352</v>
      </c>
      <c r="C56" s="191" t="s">
        <v>500</v>
      </c>
      <c r="D56" s="42" t="s">
        <v>87</v>
      </c>
      <c r="E56" s="26" t="s">
        <v>57</v>
      </c>
      <c r="F56" s="27">
        <v>24</v>
      </c>
      <c r="G56" s="28">
        <v>3900000</v>
      </c>
      <c r="H56" s="28">
        <f t="shared" si="51"/>
        <v>3900000</v>
      </c>
      <c r="I56" s="28"/>
      <c r="J56" s="28"/>
      <c r="K56" s="28">
        <v>1000000</v>
      </c>
      <c r="L56" s="28"/>
      <c r="M56" s="28"/>
      <c r="N56" s="28"/>
      <c r="O56" s="28"/>
      <c r="P56" s="28">
        <f t="shared" ref="P56:P57" si="63">SUM(I56:O56)</f>
        <v>1000000</v>
      </c>
      <c r="Q56" s="28">
        <f>6500000-G56-P56</f>
        <v>1600000</v>
      </c>
      <c r="R56" s="27">
        <v>23</v>
      </c>
      <c r="S56" s="29"/>
      <c r="T56" s="187">
        <f>ROUND((G56+P56+Q56)/F56*R56,0)</f>
        <v>6229167</v>
      </c>
      <c r="U56" s="28"/>
      <c r="V56" s="28"/>
      <c r="W56" s="30">
        <f>IF(T56-U56-V56&lt;0,0,T56-U56-V56)</f>
        <v>6229167</v>
      </c>
      <c r="X56" s="28">
        <v>11000000</v>
      </c>
      <c r="Y56" s="30"/>
      <c r="Z56" s="28"/>
      <c r="AA56" s="28">
        <f t="shared" si="58"/>
        <v>409500</v>
      </c>
      <c r="AB56" s="31">
        <f t="shared" si="28"/>
        <v>0</v>
      </c>
      <c r="AC56" s="32">
        <f t="shared" si="29"/>
        <v>0</v>
      </c>
      <c r="AD56" s="32">
        <f t="shared" si="59"/>
        <v>39000</v>
      </c>
      <c r="AE56" s="28">
        <f t="shared" si="60"/>
        <v>5780667</v>
      </c>
      <c r="AF56" s="28">
        <f t="shared" si="62"/>
        <v>5780667</v>
      </c>
      <c r="AG56" s="35">
        <f t="shared" si="26"/>
        <v>0</v>
      </c>
      <c r="AH56" s="28"/>
      <c r="AI56" s="35">
        <f t="shared" si="61"/>
        <v>0</v>
      </c>
      <c r="AJ56" s="43" t="s">
        <v>353</v>
      </c>
    </row>
    <row r="57" spans="1:36" s="19" customFormat="1" ht="28.5" customHeight="1" x14ac:dyDescent="0.25">
      <c r="A57" s="23">
        <v>43</v>
      </c>
      <c r="B57" s="172" t="s">
        <v>125</v>
      </c>
      <c r="C57" s="191" t="s">
        <v>501</v>
      </c>
      <c r="D57" s="25" t="s">
        <v>126</v>
      </c>
      <c r="E57" s="26" t="s">
        <v>44</v>
      </c>
      <c r="F57" s="27">
        <v>24</v>
      </c>
      <c r="G57" s="28">
        <v>5000000</v>
      </c>
      <c r="H57" s="28">
        <f t="shared" si="51"/>
        <v>6000000</v>
      </c>
      <c r="I57" s="28"/>
      <c r="J57" s="28"/>
      <c r="K57" s="28">
        <v>1000000</v>
      </c>
      <c r="L57" s="28">
        <v>0</v>
      </c>
      <c r="M57" s="28"/>
      <c r="N57" s="28"/>
      <c r="O57" s="28">
        <v>1000000</v>
      </c>
      <c r="P57" s="28">
        <f t="shared" si="63"/>
        <v>2000000</v>
      </c>
      <c r="Q57" s="28">
        <f>43000000-G57-P57</f>
        <v>36000000</v>
      </c>
      <c r="R57" s="27">
        <v>24</v>
      </c>
      <c r="S57" s="29"/>
      <c r="T57" s="30">
        <f t="shared" si="53"/>
        <v>43000000</v>
      </c>
      <c r="U57" s="28">
        <f t="shared" si="54"/>
        <v>0</v>
      </c>
      <c r="V57" s="28">
        <f t="shared" si="55"/>
        <v>0</v>
      </c>
      <c r="W57" s="28">
        <f t="shared" si="56"/>
        <v>43000000</v>
      </c>
      <c r="X57" s="28">
        <v>11000000</v>
      </c>
      <c r="Y57" s="30">
        <v>2</v>
      </c>
      <c r="Z57" s="28">
        <f t="shared" si="57"/>
        <v>8800000</v>
      </c>
      <c r="AA57" s="28">
        <f t="shared" si="58"/>
        <v>630000</v>
      </c>
      <c r="AB57" s="31">
        <f t="shared" si="28"/>
        <v>22570000</v>
      </c>
      <c r="AC57" s="32">
        <f t="shared" si="29"/>
        <v>2864000</v>
      </c>
      <c r="AD57" s="32">
        <f t="shared" si="59"/>
        <v>60000</v>
      </c>
      <c r="AE57" s="28">
        <f t="shared" si="60"/>
        <v>39446000</v>
      </c>
      <c r="AF57" s="28">
        <f t="shared" si="62"/>
        <v>39446000</v>
      </c>
      <c r="AG57" s="35">
        <f t="shared" si="26"/>
        <v>0</v>
      </c>
      <c r="AH57" s="28"/>
      <c r="AI57" s="35">
        <f t="shared" si="61"/>
        <v>1</v>
      </c>
      <c r="AJ57" s="22" t="s">
        <v>127</v>
      </c>
    </row>
    <row r="58" spans="1:36" s="19" customFormat="1" ht="28.5" customHeight="1" x14ac:dyDescent="0.25">
      <c r="A58" s="23">
        <v>44</v>
      </c>
      <c r="B58" s="172" t="s">
        <v>129</v>
      </c>
      <c r="C58" s="191" t="s">
        <v>502</v>
      </c>
      <c r="D58" s="42" t="s">
        <v>128</v>
      </c>
      <c r="E58" s="26" t="s">
        <v>44</v>
      </c>
      <c r="F58" s="27">
        <v>24</v>
      </c>
      <c r="G58" s="28">
        <v>5000000</v>
      </c>
      <c r="H58" s="28">
        <f t="shared" si="51"/>
        <v>5000000</v>
      </c>
      <c r="I58" s="28"/>
      <c r="J58" s="28"/>
      <c r="K58" s="28">
        <v>1000000</v>
      </c>
      <c r="L58" s="28">
        <v>0</v>
      </c>
      <c r="M58" s="28"/>
      <c r="N58" s="28"/>
      <c r="O58" s="28"/>
      <c r="P58" s="28">
        <f t="shared" si="52"/>
        <v>1000000</v>
      </c>
      <c r="Q58" s="28">
        <f>11000000-G58-P58</f>
        <v>5000000</v>
      </c>
      <c r="R58" s="27">
        <v>24</v>
      </c>
      <c r="S58" s="29"/>
      <c r="T58" s="30">
        <f t="shared" si="53"/>
        <v>11000000</v>
      </c>
      <c r="U58" s="28">
        <f t="shared" si="54"/>
        <v>0</v>
      </c>
      <c r="V58" s="28">
        <f t="shared" si="55"/>
        <v>0</v>
      </c>
      <c r="W58" s="28">
        <f t="shared" si="56"/>
        <v>11000000</v>
      </c>
      <c r="X58" s="28">
        <v>11000000</v>
      </c>
      <c r="Y58" s="30"/>
      <c r="Z58" s="28"/>
      <c r="AA58" s="28">
        <f t="shared" si="58"/>
        <v>525000</v>
      </c>
      <c r="AB58" s="31">
        <f t="shared" si="28"/>
        <v>0</v>
      </c>
      <c r="AC58" s="32">
        <f t="shared" si="29"/>
        <v>0</v>
      </c>
      <c r="AD58" s="32">
        <f t="shared" si="59"/>
        <v>50000</v>
      </c>
      <c r="AE58" s="28">
        <f t="shared" si="60"/>
        <v>10425000</v>
      </c>
      <c r="AF58" s="28">
        <f t="shared" ref="AF58:AF65" si="64">+AE58</f>
        <v>10425000</v>
      </c>
      <c r="AG58" s="35">
        <f t="shared" si="26"/>
        <v>0</v>
      </c>
      <c r="AH58" s="28"/>
      <c r="AI58" s="35">
        <f t="shared" si="61"/>
        <v>0</v>
      </c>
      <c r="AJ58" s="22" t="s">
        <v>130</v>
      </c>
    </row>
    <row r="59" spans="1:36" s="19" customFormat="1" ht="28.5" customHeight="1" x14ac:dyDescent="0.25">
      <c r="A59" s="23">
        <v>45</v>
      </c>
      <c r="B59" s="172" t="s">
        <v>131</v>
      </c>
      <c r="C59" s="191" t="s">
        <v>503</v>
      </c>
      <c r="D59" s="42" t="s">
        <v>128</v>
      </c>
      <c r="E59" s="26" t="s">
        <v>57</v>
      </c>
      <c r="F59" s="27">
        <v>24</v>
      </c>
      <c r="G59" s="28">
        <v>3900000</v>
      </c>
      <c r="H59" s="28">
        <f t="shared" si="51"/>
        <v>3900000</v>
      </c>
      <c r="I59" s="28"/>
      <c r="J59" s="28"/>
      <c r="K59" s="28">
        <v>1000000</v>
      </c>
      <c r="L59" s="28">
        <v>0</v>
      </c>
      <c r="M59" s="28"/>
      <c r="N59" s="28"/>
      <c r="O59" s="28"/>
      <c r="P59" s="28">
        <f t="shared" si="52"/>
        <v>1000000</v>
      </c>
      <c r="Q59" s="28">
        <f>5700000-G59-P59</f>
        <v>800000</v>
      </c>
      <c r="R59" s="27">
        <v>24</v>
      </c>
      <c r="S59" s="29"/>
      <c r="T59" s="30">
        <f t="shared" si="53"/>
        <v>5700000</v>
      </c>
      <c r="U59" s="28">
        <f t="shared" si="54"/>
        <v>0</v>
      </c>
      <c r="V59" s="28">
        <f t="shared" si="55"/>
        <v>0</v>
      </c>
      <c r="W59" s="28">
        <f t="shared" si="56"/>
        <v>5700000</v>
      </c>
      <c r="X59" s="28">
        <v>11000000</v>
      </c>
      <c r="Y59" s="30"/>
      <c r="Z59" s="28"/>
      <c r="AA59" s="28">
        <f t="shared" si="58"/>
        <v>409500</v>
      </c>
      <c r="AB59" s="31">
        <f t="shared" si="28"/>
        <v>0</v>
      </c>
      <c r="AC59" s="32">
        <f t="shared" si="29"/>
        <v>0</v>
      </c>
      <c r="AD59" s="32">
        <f t="shared" si="59"/>
        <v>39000</v>
      </c>
      <c r="AE59" s="28">
        <f t="shared" si="60"/>
        <v>5251500</v>
      </c>
      <c r="AF59" s="28">
        <f t="shared" si="64"/>
        <v>5251500</v>
      </c>
      <c r="AG59" s="35">
        <f t="shared" si="26"/>
        <v>0</v>
      </c>
      <c r="AH59" s="28"/>
      <c r="AI59" s="35">
        <f t="shared" si="61"/>
        <v>0</v>
      </c>
      <c r="AJ59" s="22" t="s">
        <v>132</v>
      </c>
    </row>
    <row r="60" spans="1:36" s="19" customFormat="1" ht="28.5" customHeight="1" x14ac:dyDescent="0.25">
      <c r="A60" s="23">
        <v>46</v>
      </c>
      <c r="B60" s="172" t="s">
        <v>133</v>
      </c>
      <c r="C60" s="191" t="s">
        <v>504</v>
      </c>
      <c r="D60" s="42" t="s">
        <v>128</v>
      </c>
      <c r="E60" s="26" t="s">
        <v>57</v>
      </c>
      <c r="F60" s="27">
        <v>24</v>
      </c>
      <c r="G60" s="28">
        <v>3900000</v>
      </c>
      <c r="H60" s="28">
        <f t="shared" si="51"/>
        <v>3900000</v>
      </c>
      <c r="I60" s="28"/>
      <c r="J60" s="28"/>
      <c r="K60" s="28">
        <v>1000000</v>
      </c>
      <c r="L60" s="28">
        <v>0</v>
      </c>
      <c r="M60" s="28"/>
      <c r="N60" s="28"/>
      <c r="O60" s="28"/>
      <c r="P60" s="28">
        <f t="shared" si="52"/>
        <v>1000000</v>
      </c>
      <c r="Q60" s="28">
        <f>7100000-G60-P60</f>
        <v>2200000</v>
      </c>
      <c r="R60" s="27">
        <v>24</v>
      </c>
      <c r="S60" s="29"/>
      <c r="T60" s="30">
        <f t="shared" si="53"/>
        <v>7100000</v>
      </c>
      <c r="U60" s="28">
        <f t="shared" si="54"/>
        <v>0</v>
      </c>
      <c r="V60" s="28">
        <f t="shared" si="55"/>
        <v>0</v>
      </c>
      <c r="W60" s="28">
        <f t="shared" si="56"/>
        <v>7100000</v>
      </c>
      <c r="X60" s="28">
        <v>11000000</v>
      </c>
      <c r="Y60" s="30"/>
      <c r="Z60" s="28"/>
      <c r="AA60" s="28">
        <f t="shared" si="58"/>
        <v>409500</v>
      </c>
      <c r="AB60" s="31">
        <f t="shared" si="28"/>
        <v>0</v>
      </c>
      <c r="AC60" s="32">
        <f t="shared" si="29"/>
        <v>0</v>
      </c>
      <c r="AD60" s="32">
        <f t="shared" si="59"/>
        <v>39000</v>
      </c>
      <c r="AE60" s="28">
        <f t="shared" si="60"/>
        <v>6651500</v>
      </c>
      <c r="AF60" s="28">
        <f t="shared" si="64"/>
        <v>6651500</v>
      </c>
      <c r="AG60" s="35">
        <f t="shared" si="26"/>
        <v>0</v>
      </c>
      <c r="AH60" s="28"/>
      <c r="AI60" s="35">
        <f t="shared" si="61"/>
        <v>0</v>
      </c>
      <c r="AJ60" s="43" t="s">
        <v>134</v>
      </c>
    </row>
    <row r="61" spans="1:36" s="19" customFormat="1" ht="28.5" customHeight="1" x14ac:dyDescent="0.25">
      <c r="A61" s="23">
        <v>47</v>
      </c>
      <c r="B61" s="172" t="s">
        <v>135</v>
      </c>
      <c r="C61" s="191" t="s">
        <v>505</v>
      </c>
      <c r="D61" s="42" t="s">
        <v>128</v>
      </c>
      <c r="E61" s="26" t="s">
        <v>57</v>
      </c>
      <c r="F61" s="27">
        <v>24</v>
      </c>
      <c r="G61" s="28">
        <v>3900000</v>
      </c>
      <c r="H61" s="28">
        <f t="shared" si="51"/>
        <v>3900000</v>
      </c>
      <c r="I61" s="28"/>
      <c r="J61" s="28"/>
      <c r="K61" s="28">
        <v>1000000</v>
      </c>
      <c r="L61" s="28">
        <v>0</v>
      </c>
      <c r="M61" s="28"/>
      <c r="N61" s="28"/>
      <c r="O61" s="28"/>
      <c r="P61" s="28">
        <f t="shared" si="52"/>
        <v>1000000</v>
      </c>
      <c r="Q61" s="28">
        <f>8000000-G61-P61</f>
        <v>3100000</v>
      </c>
      <c r="R61" s="27">
        <v>24</v>
      </c>
      <c r="S61" s="29"/>
      <c r="T61" s="30">
        <f t="shared" si="53"/>
        <v>8000000</v>
      </c>
      <c r="U61" s="28">
        <f t="shared" si="54"/>
        <v>0</v>
      </c>
      <c r="V61" s="28">
        <f t="shared" si="55"/>
        <v>0</v>
      </c>
      <c r="W61" s="28">
        <f t="shared" si="56"/>
        <v>8000000</v>
      </c>
      <c r="X61" s="28">
        <v>11000000</v>
      </c>
      <c r="Y61" s="30"/>
      <c r="Z61" s="28"/>
      <c r="AA61" s="28">
        <f t="shared" si="58"/>
        <v>409500</v>
      </c>
      <c r="AB61" s="31">
        <f t="shared" si="28"/>
        <v>0</v>
      </c>
      <c r="AC61" s="32">
        <f t="shared" si="29"/>
        <v>0</v>
      </c>
      <c r="AD61" s="32">
        <f t="shared" si="59"/>
        <v>39000</v>
      </c>
      <c r="AE61" s="28">
        <f t="shared" si="60"/>
        <v>7551500</v>
      </c>
      <c r="AF61" s="28">
        <f t="shared" si="64"/>
        <v>7551500</v>
      </c>
      <c r="AG61" s="35">
        <f t="shared" si="26"/>
        <v>0</v>
      </c>
      <c r="AH61" s="28"/>
      <c r="AI61" s="35">
        <f t="shared" si="61"/>
        <v>0</v>
      </c>
      <c r="AJ61" s="43" t="s">
        <v>136</v>
      </c>
    </row>
    <row r="62" spans="1:36" s="19" customFormat="1" ht="28.5" customHeight="1" x14ac:dyDescent="0.25">
      <c r="A62" s="23">
        <v>48</v>
      </c>
      <c r="B62" s="172" t="s">
        <v>137</v>
      </c>
      <c r="C62" s="191" t="s">
        <v>506</v>
      </c>
      <c r="D62" s="42" t="s">
        <v>128</v>
      </c>
      <c r="E62" s="26" t="s">
        <v>57</v>
      </c>
      <c r="F62" s="27">
        <v>24</v>
      </c>
      <c r="G62" s="28">
        <v>3900000</v>
      </c>
      <c r="H62" s="28">
        <f t="shared" si="51"/>
        <v>3900000</v>
      </c>
      <c r="I62" s="28"/>
      <c r="J62" s="28"/>
      <c r="K62" s="28">
        <v>1000000</v>
      </c>
      <c r="L62" s="28">
        <v>0</v>
      </c>
      <c r="M62" s="28"/>
      <c r="N62" s="28"/>
      <c r="O62" s="28"/>
      <c r="P62" s="28">
        <f t="shared" si="52"/>
        <v>1000000</v>
      </c>
      <c r="Q62" s="28">
        <f>7000000-G62-P62</f>
        <v>2100000</v>
      </c>
      <c r="R62" s="27">
        <v>24</v>
      </c>
      <c r="S62" s="29"/>
      <c r="T62" s="30">
        <f t="shared" si="53"/>
        <v>7000000</v>
      </c>
      <c r="U62" s="28">
        <f t="shared" si="54"/>
        <v>0</v>
      </c>
      <c r="V62" s="28">
        <f t="shared" si="55"/>
        <v>0</v>
      </c>
      <c r="W62" s="28">
        <f t="shared" si="56"/>
        <v>7000000</v>
      </c>
      <c r="X62" s="28">
        <v>11000000</v>
      </c>
      <c r="Y62" s="30"/>
      <c r="Z62" s="28"/>
      <c r="AA62" s="28">
        <f t="shared" si="58"/>
        <v>409500</v>
      </c>
      <c r="AB62" s="31">
        <f t="shared" si="28"/>
        <v>0</v>
      </c>
      <c r="AC62" s="32">
        <f t="shared" si="29"/>
        <v>0</v>
      </c>
      <c r="AD62" s="32">
        <f t="shared" si="59"/>
        <v>39000</v>
      </c>
      <c r="AE62" s="28">
        <f t="shared" si="60"/>
        <v>6551500</v>
      </c>
      <c r="AF62" s="28">
        <f t="shared" si="64"/>
        <v>6551500</v>
      </c>
      <c r="AG62" s="35">
        <f t="shared" si="26"/>
        <v>0</v>
      </c>
      <c r="AH62" s="28"/>
      <c r="AI62" s="35">
        <f t="shared" si="61"/>
        <v>0</v>
      </c>
      <c r="AJ62" s="43" t="s">
        <v>138</v>
      </c>
    </row>
    <row r="63" spans="1:36" s="19" customFormat="1" ht="28.5" customHeight="1" x14ac:dyDescent="0.25">
      <c r="A63" s="23">
        <v>49</v>
      </c>
      <c r="B63" s="172" t="s">
        <v>139</v>
      </c>
      <c r="C63" s="191" t="s">
        <v>507</v>
      </c>
      <c r="D63" s="42" t="s">
        <v>128</v>
      </c>
      <c r="E63" s="26" t="s">
        <v>57</v>
      </c>
      <c r="F63" s="27">
        <v>24</v>
      </c>
      <c r="G63" s="28">
        <v>3900000</v>
      </c>
      <c r="H63" s="28">
        <f t="shared" si="51"/>
        <v>3900000</v>
      </c>
      <c r="I63" s="28"/>
      <c r="J63" s="28"/>
      <c r="K63" s="28">
        <v>1000000</v>
      </c>
      <c r="L63" s="28">
        <v>0</v>
      </c>
      <c r="M63" s="28"/>
      <c r="N63" s="28"/>
      <c r="O63" s="28"/>
      <c r="P63" s="28">
        <f t="shared" si="52"/>
        <v>1000000</v>
      </c>
      <c r="Q63" s="28">
        <f>6000000-G63-P63</f>
        <v>1100000</v>
      </c>
      <c r="R63" s="27">
        <v>24</v>
      </c>
      <c r="S63" s="29"/>
      <c r="T63" s="30">
        <f t="shared" si="53"/>
        <v>6000000</v>
      </c>
      <c r="U63" s="28">
        <f t="shared" si="54"/>
        <v>0</v>
      </c>
      <c r="V63" s="28">
        <f t="shared" si="55"/>
        <v>0</v>
      </c>
      <c r="W63" s="28">
        <f>IF(T63-U63-V63&lt;0,0,T63-U63-V63)</f>
        <v>6000000</v>
      </c>
      <c r="X63" s="28">
        <v>11000000</v>
      </c>
      <c r="Y63" s="30"/>
      <c r="Z63" s="28"/>
      <c r="AA63" s="28">
        <f t="shared" si="58"/>
        <v>409500</v>
      </c>
      <c r="AB63" s="31">
        <f t="shared" si="28"/>
        <v>0</v>
      </c>
      <c r="AC63" s="32">
        <f t="shared" si="29"/>
        <v>0</v>
      </c>
      <c r="AD63" s="32">
        <f t="shared" si="59"/>
        <v>39000</v>
      </c>
      <c r="AE63" s="28">
        <f t="shared" si="60"/>
        <v>5551500</v>
      </c>
      <c r="AF63" s="28">
        <f t="shared" si="64"/>
        <v>5551500</v>
      </c>
      <c r="AG63" s="35">
        <f t="shared" si="26"/>
        <v>0</v>
      </c>
      <c r="AH63" s="28"/>
      <c r="AI63" s="35">
        <f t="shared" si="61"/>
        <v>0</v>
      </c>
      <c r="AJ63" s="49" t="s">
        <v>140</v>
      </c>
    </row>
    <row r="64" spans="1:36" s="19" customFormat="1" ht="28.5" customHeight="1" x14ac:dyDescent="0.25">
      <c r="A64" s="23">
        <v>50</v>
      </c>
      <c r="B64" s="172" t="s">
        <v>141</v>
      </c>
      <c r="C64" s="191" t="s">
        <v>508</v>
      </c>
      <c r="D64" s="42" t="s">
        <v>128</v>
      </c>
      <c r="E64" s="26" t="s">
        <v>57</v>
      </c>
      <c r="F64" s="27">
        <v>24</v>
      </c>
      <c r="G64" s="28">
        <v>3900000</v>
      </c>
      <c r="H64" s="28">
        <f t="shared" si="51"/>
        <v>3900000</v>
      </c>
      <c r="I64" s="28"/>
      <c r="J64" s="28"/>
      <c r="K64" s="28">
        <v>1000000</v>
      </c>
      <c r="L64" s="28">
        <v>0</v>
      </c>
      <c r="M64" s="28"/>
      <c r="N64" s="28"/>
      <c r="O64" s="28"/>
      <c r="P64" s="28">
        <f t="shared" si="52"/>
        <v>1000000</v>
      </c>
      <c r="Q64" s="28">
        <f>5700000-G64-P64</f>
        <v>800000</v>
      </c>
      <c r="R64" s="27">
        <v>24</v>
      </c>
      <c r="S64" s="29"/>
      <c r="T64" s="30">
        <f t="shared" ref="T64:T106" si="65">ROUND((G64+P64+Q64)/F64*R64,0)</f>
        <v>5700000</v>
      </c>
      <c r="U64" s="28">
        <f t="shared" ref="U64:U87" si="66">+I64</f>
        <v>0</v>
      </c>
      <c r="V64" s="28">
        <f t="shared" ref="V64:V106" si="67">+N64</f>
        <v>0</v>
      </c>
      <c r="W64" s="28">
        <f>+T64-U64-V64</f>
        <v>5700000</v>
      </c>
      <c r="X64" s="28">
        <v>11000000</v>
      </c>
      <c r="Y64" s="30"/>
      <c r="Z64" s="28"/>
      <c r="AA64" s="28">
        <f t="shared" ref="AA64:AA106" si="68">ROUND(H64*10.5%,0)</f>
        <v>409500</v>
      </c>
      <c r="AB64" s="31">
        <f t="shared" si="28"/>
        <v>0</v>
      </c>
      <c r="AC64" s="32">
        <f t="shared" si="29"/>
        <v>0</v>
      </c>
      <c r="AD64" s="32">
        <f t="shared" ref="AD64:AD106" si="69">ROUND(H64*1%,0)</f>
        <v>39000</v>
      </c>
      <c r="AE64" s="28">
        <f t="shared" si="60"/>
        <v>5251500</v>
      </c>
      <c r="AF64" s="28">
        <f t="shared" si="64"/>
        <v>5251500</v>
      </c>
      <c r="AG64" s="35">
        <f t="shared" si="26"/>
        <v>0</v>
      </c>
      <c r="AH64" s="28"/>
      <c r="AI64" s="35">
        <f t="shared" si="61"/>
        <v>0</v>
      </c>
      <c r="AJ64" s="43" t="s">
        <v>142</v>
      </c>
    </row>
    <row r="65" spans="1:36" s="19" customFormat="1" ht="28.5" customHeight="1" x14ac:dyDescent="0.25">
      <c r="A65" s="23">
        <v>51</v>
      </c>
      <c r="B65" s="172" t="s">
        <v>256</v>
      </c>
      <c r="C65" s="191" t="s">
        <v>509</v>
      </c>
      <c r="D65" s="42" t="s">
        <v>128</v>
      </c>
      <c r="E65" s="26" t="s">
        <v>57</v>
      </c>
      <c r="F65" s="27">
        <v>24</v>
      </c>
      <c r="G65" s="28">
        <v>3900000</v>
      </c>
      <c r="H65" s="28">
        <f t="shared" si="51"/>
        <v>3900000</v>
      </c>
      <c r="I65" s="28"/>
      <c r="J65" s="28"/>
      <c r="K65" s="28">
        <v>1000000</v>
      </c>
      <c r="L65" s="28">
        <v>0</v>
      </c>
      <c r="M65" s="28"/>
      <c r="N65" s="28"/>
      <c r="O65" s="28"/>
      <c r="P65" s="28">
        <f>SUM(I65:O65)</f>
        <v>1000000</v>
      </c>
      <c r="Q65" s="28">
        <f>6000000-G65-P65</f>
        <v>1100000</v>
      </c>
      <c r="R65" s="27">
        <v>24</v>
      </c>
      <c r="S65" s="29"/>
      <c r="T65" s="30">
        <f>ROUND((G65+P65+Q65)/F65*R65,0)</f>
        <v>6000000</v>
      </c>
      <c r="U65" s="28">
        <f>+I65</f>
        <v>0</v>
      </c>
      <c r="V65" s="28">
        <f>+N65</f>
        <v>0</v>
      </c>
      <c r="W65" s="28">
        <f>IF(T65-U65-V65&lt;0,0,T65-U65-V65)</f>
        <v>6000000</v>
      </c>
      <c r="X65" s="28">
        <v>11000000</v>
      </c>
      <c r="Y65" s="30"/>
      <c r="Z65" s="28"/>
      <c r="AA65" s="28">
        <f t="shared" si="68"/>
        <v>409500</v>
      </c>
      <c r="AB65" s="31">
        <f t="shared" si="28"/>
        <v>0</v>
      </c>
      <c r="AC65" s="32">
        <f t="shared" si="29"/>
        <v>0</v>
      </c>
      <c r="AD65" s="32">
        <f t="shared" si="69"/>
        <v>39000</v>
      </c>
      <c r="AE65" s="28">
        <f t="shared" ref="AE65:AE97" si="70">ROUND(T65-AA65-AC65-AD65,0)</f>
        <v>5551500</v>
      </c>
      <c r="AF65" s="28">
        <f t="shared" si="64"/>
        <v>5551500</v>
      </c>
      <c r="AG65" s="35">
        <f t="shared" si="26"/>
        <v>0</v>
      </c>
      <c r="AH65" s="28"/>
      <c r="AI65" s="35">
        <f t="shared" ref="AI65:AI97" si="71">+IF(AC65&gt;0,1,0)</f>
        <v>0</v>
      </c>
      <c r="AJ65" s="43" t="s">
        <v>320</v>
      </c>
    </row>
    <row r="66" spans="1:36" s="19" customFormat="1" ht="28.5" customHeight="1" x14ac:dyDescent="0.25">
      <c r="A66" s="23">
        <v>52</v>
      </c>
      <c r="B66" s="172" t="s">
        <v>143</v>
      </c>
      <c r="C66" s="191" t="s">
        <v>510</v>
      </c>
      <c r="D66" s="25" t="s">
        <v>344</v>
      </c>
      <c r="E66" s="26" t="s">
        <v>44</v>
      </c>
      <c r="F66" s="27">
        <v>24</v>
      </c>
      <c r="G66" s="28">
        <v>5000000</v>
      </c>
      <c r="H66" s="28">
        <f t="shared" si="51"/>
        <v>6000000</v>
      </c>
      <c r="I66" s="28"/>
      <c r="J66" s="28"/>
      <c r="K66" s="28">
        <v>1000000</v>
      </c>
      <c r="L66" s="28">
        <v>0</v>
      </c>
      <c r="M66" s="28"/>
      <c r="N66" s="28"/>
      <c r="O66" s="28">
        <v>1000000</v>
      </c>
      <c r="P66" s="28">
        <f t="shared" si="52"/>
        <v>2000000</v>
      </c>
      <c r="Q66" s="28">
        <f>26000000-G66-P66</f>
        <v>19000000</v>
      </c>
      <c r="R66" s="27">
        <v>24</v>
      </c>
      <c r="S66" s="29"/>
      <c r="T66" s="30">
        <f t="shared" si="65"/>
        <v>26000000</v>
      </c>
      <c r="U66" s="28">
        <f t="shared" si="66"/>
        <v>0</v>
      </c>
      <c r="V66" s="28">
        <f t="shared" si="67"/>
        <v>0</v>
      </c>
      <c r="W66" s="28">
        <f>+T66-U66-V66</f>
        <v>26000000</v>
      </c>
      <c r="X66" s="28">
        <v>11000000</v>
      </c>
      <c r="Y66" s="30">
        <v>1</v>
      </c>
      <c r="Z66" s="28">
        <f t="shared" si="57"/>
        <v>4400000</v>
      </c>
      <c r="AA66" s="28">
        <f t="shared" si="68"/>
        <v>630000</v>
      </c>
      <c r="AB66" s="31">
        <f t="shared" si="28"/>
        <v>9970000</v>
      </c>
      <c r="AC66" s="32">
        <f t="shared" si="29"/>
        <v>747000</v>
      </c>
      <c r="AD66" s="32">
        <f t="shared" si="69"/>
        <v>60000</v>
      </c>
      <c r="AE66" s="28">
        <f t="shared" si="70"/>
        <v>24563000</v>
      </c>
      <c r="AF66" s="28">
        <v>20000000</v>
      </c>
      <c r="AG66" s="35">
        <f t="shared" si="26"/>
        <v>4563000</v>
      </c>
      <c r="AH66" s="28"/>
      <c r="AI66" s="33">
        <f t="shared" si="71"/>
        <v>1</v>
      </c>
      <c r="AJ66" s="22" t="s">
        <v>144</v>
      </c>
    </row>
    <row r="67" spans="1:36" s="19" customFormat="1" ht="28.5" customHeight="1" x14ac:dyDescent="0.25">
      <c r="A67" s="23">
        <v>53</v>
      </c>
      <c r="B67" s="172" t="s">
        <v>145</v>
      </c>
      <c r="C67" s="191" t="s">
        <v>511</v>
      </c>
      <c r="D67" s="42" t="s">
        <v>343</v>
      </c>
      <c r="E67" s="26" t="s">
        <v>44</v>
      </c>
      <c r="F67" s="27">
        <v>24</v>
      </c>
      <c r="G67" s="28">
        <v>5000000</v>
      </c>
      <c r="H67" s="28">
        <f t="shared" si="51"/>
        <v>5000000</v>
      </c>
      <c r="I67" s="28"/>
      <c r="J67" s="28"/>
      <c r="K67" s="28">
        <v>1000000</v>
      </c>
      <c r="L67" s="28">
        <v>0</v>
      </c>
      <c r="M67" s="28"/>
      <c r="N67" s="28"/>
      <c r="O67" s="28"/>
      <c r="P67" s="28">
        <f t="shared" si="52"/>
        <v>1000000</v>
      </c>
      <c r="Q67" s="28">
        <f>12500000-G67-P67</f>
        <v>6500000</v>
      </c>
      <c r="R67" s="27">
        <v>24</v>
      </c>
      <c r="S67" s="29"/>
      <c r="T67" s="30">
        <f>ROUND(((G67+P67+Q67)/F67*R67)+S67,0)</f>
        <v>12500000</v>
      </c>
      <c r="U67" s="28">
        <f t="shared" si="66"/>
        <v>0</v>
      </c>
      <c r="V67" s="28">
        <f t="shared" si="67"/>
        <v>0</v>
      </c>
      <c r="W67" s="28">
        <f>+T67-U67-V67</f>
        <v>12500000</v>
      </c>
      <c r="X67" s="28">
        <v>11000000</v>
      </c>
      <c r="Y67" s="30"/>
      <c r="Z67" s="28"/>
      <c r="AA67" s="28">
        <f t="shared" si="68"/>
        <v>525000</v>
      </c>
      <c r="AB67" s="31">
        <f t="shared" si="28"/>
        <v>975000</v>
      </c>
      <c r="AC67" s="32">
        <f t="shared" si="29"/>
        <v>48750</v>
      </c>
      <c r="AD67" s="32">
        <f t="shared" si="69"/>
        <v>50000</v>
      </c>
      <c r="AE67" s="28">
        <f t="shared" si="70"/>
        <v>11876250</v>
      </c>
      <c r="AF67" s="28">
        <f>AE67</f>
        <v>11876250</v>
      </c>
      <c r="AG67" s="35">
        <f t="shared" si="26"/>
        <v>0</v>
      </c>
      <c r="AH67" s="28"/>
      <c r="AI67" s="33">
        <f t="shared" si="71"/>
        <v>1</v>
      </c>
      <c r="AJ67" s="22" t="s">
        <v>146</v>
      </c>
    </row>
    <row r="68" spans="1:36" s="19" customFormat="1" ht="28.5" customHeight="1" x14ac:dyDescent="0.25">
      <c r="A68" s="23">
        <v>54</v>
      </c>
      <c r="B68" s="172" t="s">
        <v>147</v>
      </c>
      <c r="C68" s="191" t="s">
        <v>512</v>
      </c>
      <c r="D68" s="42" t="s">
        <v>343</v>
      </c>
      <c r="E68" s="26" t="s">
        <v>57</v>
      </c>
      <c r="F68" s="27">
        <v>24</v>
      </c>
      <c r="G68" s="28">
        <v>3900000</v>
      </c>
      <c r="H68" s="28">
        <f t="shared" si="51"/>
        <v>3900000</v>
      </c>
      <c r="I68" s="28"/>
      <c r="J68" s="28"/>
      <c r="K68" s="28">
        <v>1000000</v>
      </c>
      <c r="L68" s="28">
        <v>0</v>
      </c>
      <c r="M68" s="28"/>
      <c r="N68" s="28"/>
      <c r="O68" s="28"/>
      <c r="P68" s="28">
        <f t="shared" si="52"/>
        <v>1000000</v>
      </c>
      <c r="Q68" s="28">
        <f>7500000-G68-P68</f>
        <v>2600000</v>
      </c>
      <c r="R68" s="27">
        <v>24</v>
      </c>
      <c r="S68" s="29"/>
      <c r="T68" s="30">
        <f t="shared" si="65"/>
        <v>7500000</v>
      </c>
      <c r="U68" s="28">
        <f t="shared" si="66"/>
        <v>0</v>
      </c>
      <c r="V68" s="28">
        <f t="shared" si="67"/>
        <v>0</v>
      </c>
      <c r="W68" s="28">
        <f>IF(T68-U68-V68&lt;0,0,T68-U68-V68)</f>
        <v>7500000</v>
      </c>
      <c r="X68" s="28">
        <v>11000000</v>
      </c>
      <c r="Y68" s="30"/>
      <c r="Z68" s="28"/>
      <c r="AA68" s="28">
        <f t="shared" si="68"/>
        <v>409500</v>
      </c>
      <c r="AB68" s="31">
        <f t="shared" si="28"/>
        <v>0</v>
      </c>
      <c r="AC68" s="32">
        <f t="shared" si="29"/>
        <v>0</v>
      </c>
      <c r="AD68" s="32">
        <f t="shared" si="69"/>
        <v>39000</v>
      </c>
      <c r="AE68" s="28">
        <f t="shared" si="70"/>
        <v>7051500</v>
      </c>
      <c r="AF68" s="28">
        <f t="shared" ref="AF68:AF92" si="72">+AE68</f>
        <v>7051500</v>
      </c>
      <c r="AG68" s="35">
        <f t="shared" si="26"/>
        <v>0</v>
      </c>
      <c r="AH68" s="28"/>
      <c r="AI68" s="33">
        <f t="shared" si="71"/>
        <v>0</v>
      </c>
      <c r="AJ68" s="161" t="s">
        <v>148</v>
      </c>
    </row>
    <row r="69" spans="1:36" s="19" customFormat="1" ht="28.5" customHeight="1" x14ac:dyDescent="0.25">
      <c r="A69" s="23">
        <v>55</v>
      </c>
      <c r="B69" s="172" t="s">
        <v>149</v>
      </c>
      <c r="C69" s="191" t="s">
        <v>513</v>
      </c>
      <c r="D69" s="42" t="s">
        <v>343</v>
      </c>
      <c r="E69" s="26" t="s">
        <v>57</v>
      </c>
      <c r="F69" s="27">
        <v>24</v>
      </c>
      <c r="G69" s="28">
        <v>3900000</v>
      </c>
      <c r="H69" s="28">
        <f t="shared" si="51"/>
        <v>3900000</v>
      </c>
      <c r="I69" s="28"/>
      <c r="J69" s="28"/>
      <c r="K69" s="28">
        <v>1000000</v>
      </c>
      <c r="L69" s="28">
        <v>0</v>
      </c>
      <c r="M69" s="28"/>
      <c r="N69" s="28"/>
      <c r="O69" s="28"/>
      <c r="P69" s="28">
        <f t="shared" si="52"/>
        <v>1000000</v>
      </c>
      <c r="Q69" s="28">
        <f>5800000-G69-P69</f>
        <v>900000</v>
      </c>
      <c r="R69" s="27">
        <v>24</v>
      </c>
      <c r="S69" s="29"/>
      <c r="T69" s="30">
        <f t="shared" si="65"/>
        <v>5800000</v>
      </c>
      <c r="U69" s="28">
        <f t="shared" si="66"/>
        <v>0</v>
      </c>
      <c r="V69" s="28">
        <f t="shared" si="67"/>
        <v>0</v>
      </c>
      <c r="W69" s="28">
        <f>IF(T69-U69-V69&lt;0,0,T69-U69-V69)</f>
        <v>5800000</v>
      </c>
      <c r="X69" s="28">
        <v>11000000</v>
      </c>
      <c r="Y69" s="30"/>
      <c r="Z69" s="28"/>
      <c r="AA69" s="28">
        <f t="shared" si="68"/>
        <v>409500</v>
      </c>
      <c r="AB69" s="31">
        <f t="shared" si="28"/>
        <v>0</v>
      </c>
      <c r="AC69" s="32">
        <f t="shared" si="29"/>
        <v>0</v>
      </c>
      <c r="AD69" s="32">
        <f t="shared" si="69"/>
        <v>39000</v>
      </c>
      <c r="AE69" s="28">
        <f t="shared" si="70"/>
        <v>5351500</v>
      </c>
      <c r="AF69" s="28">
        <f t="shared" si="72"/>
        <v>5351500</v>
      </c>
      <c r="AG69" s="35">
        <f t="shared" si="26"/>
        <v>0</v>
      </c>
      <c r="AH69" s="28"/>
      <c r="AI69" s="33">
        <f t="shared" si="71"/>
        <v>0</v>
      </c>
      <c r="AJ69" s="49" t="s">
        <v>150</v>
      </c>
    </row>
    <row r="70" spans="1:36" s="19" customFormat="1" ht="28.5" customHeight="1" x14ac:dyDescent="0.25">
      <c r="A70" s="23">
        <v>56</v>
      </c>
      <c r="B70" s="172" t="s">
        <v>151</v>
      </c>
      <c r="C70" s="191" t="s">
        <v>514</v>
      </c>
      <c r="D70" s="42" t="s">
        <v>343</v>
      </c>
      <c r="E70" s="26" t="s">
        <v>57</v>
      </c>
      <c r="F70" s="27">
        <v>24</v>
      </c>
      <c r="G70" s="28">
        <v>3900000</v>
      </c>
      <c r="H70" s="28">
        <f t="shared" si="51"/>
        <v>3900000</v>
      </c>
      <c r="I70" s="28"/>
      <c r="J70" s="28"/>
      <c r="K70" s="28">
        <v>1000000</v>
      </c>
      <c r="L70" s="28">
        <v>0</v>
      </c>
      <c r="M70" s="28"/>
      <c r="N70" s="28"/>
      <c r="O70" s="28"/>
      <c r="P70" s="28">
        <f t="shared" si="52"/>
        <v>1000000</v>
      </c>
      <c r="Q70" s="28">
        <f>6800000-G70-P70</f>
        <v>1900000</v>
      </c>
      <c r="R70" s="27">
        <v>24</v>
      </c>
      <c r="S70" s="29"/>
      <c r="T70" s="30">
        <f t="shared" si="65"/>
        <v>6800000</v>
      </c>
      <c r="U70" s="28">
        <f t="shared" si="66"/>
        <v>0</v>
      </c>
      <c r="V70" s="28">
        <f t="shared" si="67"/>
        <v>0</v>
      </c>
      <c r="W70" s="28">
        <f>+T70-U70-V70</f>
        <v>6800000</v>
      </c>
      <c r="X70" s="28">
        <v>11000000</v>
      </c>
      <c r="Y70" s="30"/>
      <c r="Z70" s="28"/>
      <c r="AA70" s="28">
        <f t="shared" si="68"/>
        <v>409500</v>
      </c>
      <c r="AB70" s="31">
        <f t="shared" si="28"/>
        <v>0</v>
      </c>
      <c r="AC70" s="32">
        <f t="shared" si="29"/>
        <v>0</v>
      </c>
      <c r="AD70" s="32">
        <f t="shared" si="69"/>
        <v>39000</v>
      </c>
      <c r="AE70" s="28">
        <f t="shared" si="70"/>
        <v>6351500</v>
      </c>
      <c r="AF70" s="28">
        <f t="shared" si="72"/>
        <v>6351500</v>
      </c>
      <c r="AG70" s="35">
        <f t="shared" si="26"/>
        <v>0</v>
      </c>
      <c r="AH70" s="28"/>
      <c r="AI70" s="35">
        <f t="shared" si="71"/>
        <v>0</v>
      </c>
      <c r="AJ70" s="22" t="s">
        <v>152</v>
      </c>
    </row>
    <row r="71" spans="1:36" s="19" customFormat="1" ht="28.5" customHeight="1" x14ac:dyDescent="0.25">
      <c r="A71" s="23">
        <v>57</v>
      </c>
      <c r="B71" s="172" t="s">
        <v>153</v>
      </c>
      <c r="C71" s="191" t="s">
        <v>515</v>
      </c>
      <c r="D71" s="42" t="s">
        <v>343</v>
      </c>
      <c r="E71" s="26" t="s">
        <v>57</v>
      </c>
      <c r="F71" s="27">
        <v>24</v>
      </c>
      <c r="G71" s="28">
        <v>3900000</v>
      </c>
      <c r="H71" s="28">
        <f t="shared" si="51"/>
        <v>3900000</v>
      </c>
      <c r="I71" s="28"/>
      <c r="J71" s="28"/>
      <c r="K71" s="28">
        <v>1000000</v>
      </c>
      <c r="L71" s="28">
        <v>0</v>
      </c>
      <c r="M71" s="28"/>
      <c r="N71" s="28"/>
      <c r="O71" s="28"/>
      <c r="P71" s="28">
        <f t="shared" si="52"/>
        <v>1000000</v>
      </c>
      <c r="Q71" s="28">
        <f>5800000-G71-P71</f>
        <v>900000</v>
      </c>
      <c r="R71" s="27">
        <v>17</v>
      </c>
      <c r="S71" s="29"/>
      <c r="T71" s="30">
        <f t="shared" si="65"/>
        <v>4108333</v>
      </c>
      <c r="U71" s="28">
        <f t="shared" si="66"/>
        <v>0</v>
      </c>
      <c r="V71" s="28">
        <f t="shared" si="67"/>
        <v>0</v>
      </c>
      <c r="W71" s="28">
        <f>IF(T71-U71-V71&lt;0,0,T71-U71-V71)</f>
        <v>4108333</v>
      </c>
      <c r="X71" s="28">
        <v>11000000</v>
      </c>
      <c r="Y71" s="30"/>
      <c r="Z71" s="28"/>
      <c r="AA71" s="28">
        <f t="shared" si="68"/>
        <v>409500</v>
      </c>
      <c r="AB71" s="31">
        <f t="shared" si="28"/>
        <v>0</v>
      </c>
      <c r="AC71" s="32">
        <f t="shared" si="29"/>
        <v>0</v>
      </c>
      <c r="AD71" s="32">
        <f t="shared" si="69"/>
        <v>39000</v>
      </c>
      <c r="AE71" s="28">
        <f t="shared" si="70"/>
        <v>3659833</v>
      </c>
      <c r="AF71" s="28">
        <f t="shared" si="72"/>
        <v>3659833</v>
      </c>
      <c r="AG71" s="35">
        <f t="shared" si="26"/>
        <v>0</v>
      </c>
      <c r="AH71" s="28"/>
      <c r="AI71" s="35">
        <f t="shared" si="71"/>
        <v>0</v>
      </c>
      <c r="AJ71" s="49" t="s">
        <v>154</v>
      </c>
    </row>
    <row r="72" spans="1:36" s="19" customFormat="1" ht="28.5" customHeight="1" x14ac:dyDescent="0.25">
      <c r="A72" s="23">
        <v>58</v>
      </c>
      <c r="B72" s="172" t="s">
        <v>155</v>
      </c>
      <c r="C72" s="191" t="s">
        <v>516</v>
      </c>
      <c r="D72" s="42" t="s">
        <v>343</v>
      </c>
      <c r="E72" s="26" t="s">
        <v>57</v>
      </c>
      <c r="F72" s="27">
        <v>24</v>
      </c>
      <c r="G72" s="28">
        <v>3900000</v>
      </c>
      <c r="H72" s="28">
        <f t="shared" si="51"/>
        <v>3900000</v>
      </c>
      <c r="I72" s="28"/>
      <c r="J72" s="28"/>
      <c r="K72" s="28">
        <v>1000000</v>
      </c>
      <c r="L72" s="28">
        <v>0</v>
      </c>
      <c r="M72" s="28"/>
      <c r="N72" s="28"/>
      <c r="O72" s="28"/>
      <c r="P72" s="28">
        <f t="shared" si="52"/>
        <v>1000000</v>
      </c>
      <c r="Q72" s="28">
        <f t="shared" ref="Q72:Q75" si="73">5500000-G72-P72</f>
        <v>600000</v>
      </c>
      <c r="R72" s="27">
        <v>18.5</v>
      </c>
      <c r="S72" s="29"/>
      <c r="T72" s="30">
        <f t="shared" si="65"/>
        <v>4239583</v>
      </c>
      <c r="U72" s="28">
        <f t="shared" si="66"/>
        <v>0</v>
      </c>
      <c r="V72" s="28">
        <f t="shared" si="67"/>
        <v>0</v>
      </c>
      <c r="W72" s="28">
        <f t="shared" ref="W72:W76" si="74">IF(T72-U72-V72&lt;0,0,T72-U72-V72)</f>
        <v>4239583</v>
      </c>
      <c r="X72" s="28">
        <v>11000000</v>
      </c>
      <c r="Y72" s="30"/>
      <c r="Z72" s="28"/>
      <c r="AA72" s="28">
        <f t="shared" si="68"/>
        <v>409500</v>
      </c>
      <c r="AB72" s="31">
        <f t="shared" si="28"/>
        <v>0</v>
      </c>
      <c r="AC72" s="32">
        <f t="shared" si="29"/>
        <v>0</v>
      </c>
      <c r="AD72" s="32">
        <f t="shared" si="69"/>
        <v>39000</v>
      </c>
      <c r="AE72" s="28">
        <f t="shared" si="70"/>
        <v>3791083</v>
      </c>
      <c r="AF72" s="28">
        <f t="shared" si="72"/>
        <v>3791083</v>
      </c>
      <c r="AG72" s="35">
        <f t="shared" ref="AG72:AG75" si="75">ROUND(AE72-AF72,-1)</f>
        <v>0</v>
      </c>
      <c r="AH72" s="28"/>
      <c r="AI72" s="35">
        <f t="shared" si="71"/>
        <v>0</v>
      </c>
      <c r="AJ72" s="49" t="s">
        <v>156</v>
      </c>
    </row>
    <row r="73" spans="1:36" s="19" customFormat="1" ht="28.5" customHeight="1" x14ac:dyDescent="0.25">
      <c r="A73" s="23">
        <v>59</v>
      </c>
      <c r="B73" s="172" t="s">
        <v>157</v>
      </c>
      <c r="C73" s="191" t="s">
        <v>517</v>
      </c>
      <c r="D73" s="42" t="s">
        <v>343</v>
      </c>
      <c r="E73" s="26" t="s">
        <v>57</v>
      </c>
      <c r="F73" s="27">
        <v>24</v>
      </c>
      <c r="G73" s="28">
        <v>3900000</v>
      </c>
      <c r="H73" s="28">
        <f t="shared" si="51"/>
        <v>3900000</v>
      </c>
      <c r="I73" s="28"/>
      <c r="J73" s="28"/>
      <c r="K73" s="28">
        <v>1000000</v>
      </c>
      <c r="L73" s="28">
        <v>0</v>
      </c>
      <c r="M73" s="28"/>
      <c r="N73" s="28"/>
      <c r="O73" s="28"/>
      <c r="P73" s="28">
        <f t="shared" si="52"/>
        <v>1000000</v>
      </c>
      <c r="Q73" s="28">
        <f>5800000-G73-P73</f>
        <v>900000</v>
      </c>
      <c r="R73" s="27">
        <v>24</v>
      </c>
      <c r="S73" s="29"/>
      <c r="T73" s="30">
        <f t="shared" si="65"/>
        <v>5800000</v>
      </c>
      <c r="U73" s="28">
        <f t="shared" si="66"/>
        <v>0</v>
      </c>
      <c r="V73" s="28">
        <f t="shared" si="67"/>
        <v>0</v>
      </c>
      <c r="W73" s="28">
        <f t="shared" si="74"/>
        <v>5800000</v>
      </c>
      <c r="X73" s="28">
        <v>11000000</v>
      </c>
      <c r="Y73" s="30"/>
      <c r="Z73" s="28"/>
      <c r="AA73" s="28">
        <f t="shared" si="68"/>
        <v>409500</v>
      </c>
      <c r="AB73" s="31">
        <f t="shared" si="28"/>
        <v>0</v>
      </c>
      <c r="AC73" s="32">
        <f t="shared" si="29"/>
        <v>0</v>
      </c>
      <c r="AD73" s="32">
        <f t="shared" si="69"/>
        <v>39000</v>
      </c>
      <c r="AE73" s="28">
        <f t="shared" si="70"/>
        <v>5351500</v>
      </c>
      <c r="AF73" s="28">
        <f t="shared" si="72"/>
        <v>5351500</v>
      </c>
      <c r="AG73" s="35">
        <f t="shared" si="75"/>
        <v>0</v>
      </c>
      <c r="AH73" s="28"/>
      <c r="AI73" s="35">
        <f t="shared" si="71"/>
        <v>0</v>
      </c>
      <c r="AJ73" s="49" t="s">
        <v>158</v>
      </c>
    </row>
    <row r="74" spans="1:36" s="19" customFormat="1" ht="28.5" customHeight="1" x14ac:dyDescent="0.25">
      <c r="A74" s="23">
        <v>60</v>
      </c>
      <c r="B74" s="172" t="s">
        <v>159</v>
      </c>
      <c r="C74" s="191" t="s">
        <v>518</v>
      </c>
      <c r="D74" s="42" t="s">
        <v>343</v>
      </c>
      <c r="E74" s="26" t="s">
        <v>57</v>
      </c>
      <c r="F74" s="27">
        <v>24</v>
      </c>
      <c r="G74" s="28">
        <v>3900000</v>
      </c>
      <c r="H74" s="28">
        <f t="shared" si="51"/>
        <v>3900000</v>
      </c>
      <c r="I74" s="28"/>
      <c r="J74" s="28"/>
      <c r="K74" s="28">
        <v>1000000</v>
      </c>
      <c r="L74" s="28">
        <v>0</v>
      </c>
      <c r="M74" s="28"/>
      <c r="N74" s="28"/>
      <c r="O74" s="28"/>
      <c r="P74" s="28">
        <f t="shared" si="52"/>
        <v>1000000</v>
      </c>
      <c r="Q74" s="28">
        <f t="shared" si="73"/>
        <v>600000</v>
      </c>
      <c r="R74" s="27">
        <v>24</v>
      </c>
      <c r="S74" s="29"/>
      <c r="T74" s="30">
        <f t="shared" si="65"/>
        <v>5500000</v>
      </c>
      <c r="U74" s="28">
        <f t="shared" si="66"/>
        <v>0</v>
      </c>
      <c r="V74" s="28">
        <f t="shared" si="67"/>
        <v>0</v>
      </c>
      <c r="W74" s="28">
        <f t="shared" si="74"/>
        <v>5500000</v>
      </c>
      <c r="X74" s="28">
        <v>11000000</v>
      </c>
      <c r="Y74" s="30"/>
      <c r="Z74" s="28"/>
      <c r="AA74" s="28">
        <f t="shared" si="68"/>
        <v>409500</v>
      </c>
      <c r="AB74" s="31">
        <f t="shared" si="28"/>
        <v>0</v>
      </c>
      <c r="AC74" s="32">
        <f t="shared" si="29"/>
        <v>0</v>
      </c>
      <c r="AD74" s="32">
        <f t="shared" si="69"/>
        <v>39000</v>
      </c>
      <c r="AE74" s="28">
        <f t="shared" si="70"/>
        <v>5051500</v>
      </c>
      <c r="AF74" s="28">
        <f t="shared" si="72"/>
        <v>5051500</v>
      </c>
      <c r="AG74" s="35">
        <f t="shared" si="75"/>
        <v>0</v>
      </c>
      <c r="AH74" s="28"/>
      <c r="AI74" s="35">
        <f t="shared" si="71"/>
        <v>0</v>
      </c>
      <c r="AJ74" s="49" t="s">
        <v>160</v>
      </c>
    </row>
    <row r="75" spans="1:36" s="19" customFormat="1" ht="28.5" customHeight="1" x14ac:dyDescent="0.25">
      <c r="A75" s="23">
        <v>61</v>
      </c>
      <c r="B75" s="172" t="s">
        <v>161</v>
      </c>
      <c r="C75" s="191" t="s">
        <v>519</v>
      </c>
      <c r="D75" s="42" t="s">
        <v>343</v>
      </c>
      <c r="E75" s="26" t="s">
        <v>57</v>
      </c>
      <c r="F75" s="27">
        <v>24</v>
      </c>
      <c r="G75" s="28">
        <v>3900000</v>
      </c>
      <c r="H75" s="28">
        <f t="shared" si="51"/>
        <v>3900000</v>
      </c>
      <c r="I75" s="28"/>
      <c r="J75" s="28"/>
      <c r="K75" s="28">
        <v>1000000</v>
      </c>
      <c r="L75" s="28">
        <v>0</v>
      </c>
      <c r="M75" s="28"/>
      <c r="N75" s="28"/>
      <c r="O75" s="28"/>
      <c r="P75" s="28">
        <f t="shared" si="52"/>
        <v>1000000</v>
      </c>
      <c r="Q75" s="28">
        <f t="shared" si="73"/>
        <v>600000</v>
      </c>
      <c r="R75" s="27">
        <v>18</v>
      </c>
      <c r="S75" s="29"/>
      <c r="T75" s="30">
        <f t="shared" si="65"/>
        <v>4125000</v>
      </c>
      <c r="U75" s="28">
        <f t="shared" si="66"/>
        <v>0</v>
      </c>
      <c r="V75" s="28">
        <f t="shared" si="67"/>
        <v>0</v>
      </c>
      <c r="W75" s="28">
        <f t="shared" si="74"/>
        <v>4125000</v>
      </c>
      <c r="X75" s="28">
        <v>11000000</v>
      </c>
      <c r="Y75" s="30"/>
      <c r="Z75" s="28"/>
      <c r="AA75" s="28">
        <f t="shared" si="68"/>
        <v>409500</v>
      </c>
      <c r="AB75" s="31">
        <f t="shared" si="28"/>
        <v>0</v>
      </c>
      <c r="AC75" s="32">
        <f t="shared" si="29"/>
        <v>0</v>
      </c>
      <c r="AD75" s="32">
        <f t="shared" si="69"/>
        <v>39000</v>
      </c>
      <c r="AE75" s="28">
        <f t="shared" si="70"/>
        <v>3676500</v>
      </c>
      <c r="AF75" s="28">
        <f t="shared" si="72"/>
        <v>3676500</v>
      </c>
      <c r="AG75" s="35">
        <f t="shared" si="75"/>
        <v>0</v>
      </c>
      <c r="AH75" s="28"/>
      <c r="AI75" s="35">
        <f t="shared" si="71"/>
        <v>0</v>
      </c>
      <c r="AJ75" s="49" t="s">
        <v>162</v>
      </c>
    </row>
    <row r="76" spans="1:36" s="19" customFormat="1" ht="32.25" customHeight="1" x14ac:dyDescent="0.25">
      <c r="A76" s="23">
        <v>62</v>
      </c>
      <c r="B76" s="172" t="s">
        <v>163</v>
      </c>
      <c r="C76" s="191" t="s">
        <v>520</v>
      </c>
      <c r="D76" s="42" t="s">
        <v>343</v>
      </c>
      <c r="E76" s="26" t="s">
        <v>57</v>
      </c>
      <c r="F76" s="27">
        <v>24</v>
      </c>
      <c r="G76" s="28">
        <v>3860000</v>
      </c>
      <c r="H76" s="28">
        <f t="shared" si="51"/>
        <v>3860000</v>
      </c>
      <c r="I76" s="28"/>
      <c r="J76" s="28"/>
      <c r="K76" s="28">
        <v>0</v>
      </c>
      <c r="L76" s="28">
        <v>0</v>
      </c>
      <c r="M76" s="28"/>
      <c r="N76" s="28"/>
      <c r="O76" s="28"/>
      <c r="P76" s="28">
        <f t="shared" si="52"/>
        <v>0</v>
      </c>
      <c r="Q76" s="28">
        <f>4500000-G76-P76</f>
        <v>640000</v>
      </c>
      <c r="R76" s="27">
        <v>24</v>
      </c>
      <c r="S76" s="29"/>
      <c r="T76" s="30">
        <f t="shared" si="65"/>
        <v>4500000</v>
      </c>
      <c r="U76" s="50">
        <f t="shared" si="66"/>
        <v>0</v>
      </c>
      <c r="V76" s="28">
        <f t="shared" si="67"/>
        <v>0</v>
      </c>
      <c r="W76" s="28">
        <f t="shared" si="74"/>
        <v>4500000</v>
      </c>
      <c r="X76" s="28">
        <v>11000000</v>
      </c>
      <c r="Y76" s="30"/>
      <c r="Z76" s="28"/>
      <c r="AA76" s="28">
        <f t="shared" si="68"/>
        <v>405300</v>
      </c>
      <c r="AB76" s="31">
        <f t="shared" si="28"/>
        <v>0</v>
      </c>
      <c r="AC76" s="32">
        <f t="shared" si="29"/>
        <v>0</v>
      </c>
      <c r="AD76" s="32">
        <f t="shared" si="69"/>
        <v>38600</v>
      </c>
      <c r="AE76" s="28">
        <f t="shared" si="70"/>
        <v>4056100</v>
      </c>
      <c r="AF76" s="28">
        <f t="shared" si="72"/>
        <v>4056100</v>
      </c>
      <c r="AG76" s="35">
        <f t="shared" ref="AG76:AG106" si="76">+AE76-AF76</f>
        <v>0</v>
      </c>
      <c r="AH76" s="28"/>
      <c r="AI76" s="35">
        <f t="shared" si="71"/>
        <v>0</v>
      </c>
      <c r="AJ76" s="49" t="s">
        <v>164</v>
      </c>
    </row>
    <row r="77" spans="1:36" s="19" customFormat="1" ht="32.25" customHeight="1" x14ac:dyDescent="0.25">
      <c r="A77" s="23">
        <v>63</v>
      </c>
      <c r="B77" s="172" t="s">
        <v>165</v>
      </c>
      <c r="C77" s="191" t="s">
        <v>521</v>
      </c>
      <c r="D77" s="42" t="s">
        <v>343</v>
      </c>
      <c r="E77" s="26" t="s">
        <v>57</v>
      </c>
      <c r="F77" s="27">
        <v>24</v>
      </c>
      <c r="G77" s="28">
        <v>3860000</v>
      </c>
      <c r="H77" s="28">
        <f t="shared" si="51"/>
        <v>3860000</v>
      </c>
      <c r="I77" s="28"/>
      <c r="J77" s="28"/>
      <c r="K77" s="28">
        <v>0</v>
      </c>
      <c r="L77" s="28">
        <v>0</v>
      </c>
      <c r="M77" s="28"/>
      <c r="N77" s="28"/>
      <c r="O77" s="28"/>
      <c r="P77" s="28">
        <f t="shared" si="52"/>
        <v>0</v>
      </c>
      <c r="Q77" s="28">
        <f>4500000-G77-P77</f>
        <v>640000</v>
      </c>
      <c r="R77" s="27">
        <v>24</v>
      </c>
      <c r="S77" s="29"/>
      <c r="T77" s="30">
        <f t="shared" si="65"/>
        <v>4500000</v>
      </c>
      <c r="U77" s="50">
        <f t="shared" si="66"/>
        <v>0</v>
      </c>
      <c r="V77" s="28">
        <f t="shared" si="67"/>
        <v>0</v>
      </c>
      <c r="W77" s="28">
        <f>+T77-U77-V77</f>
        <v>4500000</v>
      </c>
      <c r="X77" s="28">
        <v>11000000</v>
      </c>
      <c r="Y77" s="30"/>
      <c r="Z77" s="28"/>
      <c r="AA77" s="28">
        <f t="shared" si="68"/>
        <v>405300</v>
      </c>
      <c r="AB77" s="31">
        <f t="shared" si="28"/>
        <v>0</v>
      </c>
      <c r="AC77" s="32">
        <f t="shared" si="29"/>
        <v>0</v>
      </c>
      <c r="AD77" s="32">
        <f t="shared" si="69"/>
        <v>38600</v>
      </c>
      <c r="AE77" s="28">
        <f t="shared" si="70"/>
        <v>4056100</v>
      </c>
      <c r="AF77" s="28">
        <f t="shared" si="72"/>
        <v>4056100</v>
      </c>
      <c r="AG77" s="35">
        <f t="shared" si="76"/>
        <v>0</v>
      </c>
      <c r="AH77" s="28"/>
      <c r="AI77" s="35">
        <f t="shared" si="71"/>
        <v>0</v>
      </c>
      <c r="AJ77" s="49" t="s">
        <v>166</v>
      </c>
    </row>
    <row r="78" spans="1:36" s="19" customFormat="1" ht="28.5" customHeight="1" x14ac:dyDescent="0.25">
      <c r="A78" s="23">
        <v>64</v>
      </c>
      <c r="B78" s="172" t="s">
        <v>167</v>
      </c>
      <c r="C78" s="191" t="s">
        <v>522</v>
      </c>
      <c r="D78" s="42" t="s">
        <v>343</v>
      </c>
      <c r="E78" s="26" t="s">
        <v>57</v>
      </c>
      <c r="F78" s="27">
        <v>24</v>
      </c>
      <c r="G78" s="28">
        <v>3900000</v>
      </c>
      <c r="H78" s="28">
        <f t="shared" si="51"/>
        <v>3900000</v>
      </c>
      <c r="I78" s="28"/>
      <c r="J78" s="28"/>
      <c r="K78" s="28">
        <v>1000000</v>
      </c>
      <c r="L78" s="28">
        <v>0</v>
      </c>
      <c r="M78" s="28"/>
      <c r="N78" s="28"/>
      <c r="O78" s="28"/>
      <c r="P78" s="28">
        <f t="shared" si="52"/>
        <v>1000000</v>
      </c>
      <c r="Q78" s="28">
        <f>5000000-G78-P78</f>
        <v>100000</v>
      </c>
      <c r="R78" s="27">
        <v>24</v>
      </c>
      <c r="S78" s="29"/>
      <c r="T78" s="30">
        <f t="shared" si="65"/>
        <v>5000000</v>
      </c>
      <c r="U78" s="28">
        <f t="shared" si="66"/>
        <v>0</v>
      </c>
      <c r="V78" s="28">
        <f t="shared" si="67"/>
        <v>0</v>
      </c>
      <c r="W78" s="28">
        <f t="shared" ref="W78:W82" si="77">IF(T78-U78-V78&lt;0,0,T78-U78-V78)</f>
        <v>5000000</v>
      </c>
      <c r="X78" s="28">
        <v>11000000</v>
      </c>
      <c r="Y78" s="30"/>
      <c r="Z78" s="28"/>
      <c r="AA78" s="28">
        <f t="shared" si="68"/>
        <v>409500</v>
      </c>
      <c r="AB78" s="31">
        <f t="shared" si="28"/>
        <v>0</v>
      </c>
      <c r="AC78" s="32">
        <f t="shared" si="29"/>
        <v>0</v>
      </c>
      <c r="AD78" s="32">
        <f t="shared" si="69"/>
        <v>39000</v>
      </c>
      <c r="AE78" s="28">
        <f t="shared" si="70"/>
        <v>4551500</v>
      </c>
      <c r="AF78" s="28">
        <f t="shared" si="72"/>
        <v>4551500</v>
      </c>
      <c r="AG78" s="35">
        <f t="shared" si="76"/>
        <v>0</v>
      </c>
      <c r="AH78" s="28"/>
      <c r="AI78" s="35">
        <f t="shared" si="71"/>
        <v>0</v>
      </c>
      <c r="AJ78" s="49" t="s">
        <v>168</v>
      </c>
    </row>
    <row r="79" spans="1:36" s="19" customFormat="1" ht="28.5" customHeight="1" x14ac:dyDescent="0.25">
      <c r="A79" s="23">
        <v>65</v>
      </c>
      <c r="B79" s="172" t="s">
        <v>169</v>
      </c>
      <c r="C79" s="191" t="s">
        <v>523</v>
      </c>
      <c r="D79" s="42" t="s">
        <v>343</v>
      </c>
      <c r="E79" s="26" t="s">
        <v>57</v>
      </c>
      <c r="F79" s="27">
        <v>24</v>
      </c>
      <c r="G79" s="28">
        <v>3900000</v>
      </c>
      <c r="H79" s="28">
        <f t="shared" si="51"/>
        <v>3900000</v>
      </c>
      <c r="I79" s="28"/>
      <c r="J79" s="28"/>
      <c r="K79" s="28">
        <v>1000000</v>
      </c>
      <c r="L79" s="28">
        <v>0</v>
      </c>
      <c r="M79" s="28"/>
      <c r="N79" s="28"/>
      <c r="O79" s="28"/>
      <c r="P79" s="28">
        <f t="shared" si="52"/>
        <v>1000000</v>
      </c>
      <c r="Q79" s="28">
        <f>5000000-G79-P79</f>
        <v>100000</v>
      </c>
      <c r="R79" s="27">
        <v>24</v>
      </c>
      <c r="S79" s="29"/>
      <c r="T79" s="30">
        <f t="shared" si="65"/>
        <v>5000000</v>
      </c>
      <c r="U79" s="28">
        <f t="shared" si="66"/>
        <v>0</v>
      </c>
      <c r="V79" s="28">
        <f t="shared" si="67"/>
        <v>0</v>
      </c>
      <c r="W79" s="28">
        <f t="shared" si="77"/>
        <v>5000000</v>
      </c>
      <c r="X79" s="28">
        <v>11000000</v>
      </c>
      <c r="Y79" s="30"/>
      <c r="Z79" s="28"/>
      <c r="AA79" s="28">
        <f t="shared" si="68"/>
        <v>409500</v>
      </c>
      <c r="AB79" s="31">
        <f t="shared" si="28"/>
        <v>0</v>
      </c>
      <c r="AC79" s="32">
        <f t="shared" si="29"/>
        <v>0</v>
      </c>
      <c r="AD79" s="32">
        <f t="shared" si="69"/>
        <v>39000</v>
      </c>
      <c r="AE79" s="28">
        <f t="shared" si="70"/>
        <v>4551500</v>
      </c>
      <c r="AF79" s="28">
        <f t="shared" si="72"/>
        <v>4551500</v>
      </c>
      <c r="AG79" s="35">
        <f t="shared" si="76"/>
        <v>0</v>
      </c>
      <c r="AH79" s="28"/>
      <c r="AI79" s="35">
        <f t="shared" si="71"/>
        <v>0</v>
      </c>
      <c r="AJ79" s="49" t="s">
        <v>170</v>
      </c>
    </row>
    <row r="80" spans="1:36" s="19" customFormat="1" ht="28.5" customHeight="1" x14ac:dyDescent="0.25">
      <c r="A80" s="23">
        <v>66</v>
      </c>
      <c r="B80" s="171" t="s">
        <v>171</v>
      </c>
      <c r="C80" s="193" t="s">
        <v>524</v>
      </c>
      <c r="D80" s="42" t="s">
        <v>343</v>
      </c>
      <c r="E80" s="26" t="s">
        <v>57</v>
      </c>
      <c r="F80" s="27">
        <v>24</v>
      </c>
      <c r="G80" s="28">
        <v>3900000</v>
      </c>
      <c r="H80" s="28">
        <f t="shared" si="51"/>
        <v>3900000</v>
      </c>
      <c r="I80" s="28"/>
      <c r="J80" s="28"/>
      <c r="K80" s="28">
        <v>1000000</v>
      </c>
      <c r="L80" s="28">
        <v>0</v>
      </c>
      <c r="M80" s="28"/>
      <c r="N80" s="28"/>
      <c r="O80" s="28"/>
      <c r="P80" s="28">
        <f t="shared" si="52"/>
        <v>1000000</v>
      </c>
      <c r="Q80" s="28">
        <f>5500000-G80-P80</f>
        <v>600000</v>
      </c>
      <c r="R80" s="27">
        <v>24</v>
      </c>
      <c r="S80" s="29"/>
      <c r="T80" s="30">
        <f t="shared" si="65"/>
        <v>5500000</v>
      </c>
      <c r="U80" s="28">
        <f t="shared" si="66"/>
        <v>0</v>
      </c>
      <c r="V80" s="28">
        <f t="shared" si="67"/>
        <v>0</v>
      </c>
      <c r="W80" s="28">
        <f t="shared" si="77"/>
        <v>5500000</v>
      </c>
      <c r="X80" s="28">
        <v>11000000</v>
      </c>
      <c r="Y80" s="30"/>
      <c r="Z80" s="28"/>
      <c r="AA80" s="28">
        <f t="shared" si="68"/>
        <v>409500</v>
      </c>
      <c r="AB80" s="31">
        <f t="shared" si="28"/>
        <v>0</v>
      </c>
      <c r="AC80" s="32">
        <f t="shared" si="29"/>
        <v>0</v>
      </c>
      <c r="AD80" s="32">
        <f t="shared" si="69"/>
        <v>39000</v>
      </c>
      <c r="AE80" s="28">
        <f t="shared" si="70"/>
        <v>5051500</v>
      </c>
      <c r="AF80" s="28">
        <f t="shared" si="72"/>
        <v>5051500</v>
      </c>
      <c r="AG80" s="35">
        <f t="shared" si="76"/>
        <v>0</v>
      </c>
      <c r="AH80" s="28"/>
      <c r="AI80" s="35">
        <f t="shared" si="71"/>
        <v>0</v>
      </c>
      <c r="AJ80" s="49" t="s">
        <v>172</v>
      </c>
    </row>
    <row r="81" spans="1:36" s="19" customFormat="1" ht="28.5" customHeight="1" x14ac:dyDescent="0.25">
      <c r="A81" s="23">
        <v>67</v>
      </c>
      <c r="B81" s="171" t="s">
        <v>173</v>
      </c>
      <c r="C81" s="193" t="s">
        <v>525</v>
      </c>
      <c r="D81" s="42" t="s">
        <v>343</v>
      </c>
      <c r="E81" s="26" t="s">
        <v>57</v>
      </c>
      <c r="F81" s="27">
        <v>24</v>
      </c>
      <c r="G81" s="28">
        <v>3900000</v>
      </c>
      <c r="H81" s="28">
        <f t="shared" si="51"/>
        <v>3900000</v>
      </c>
      <c r="I81" s="28"/>
      <c r="J81" s="28"/>
      <c r="K81" s="28">
        <v>1000000</v>
      </c>
      <c r="L81" s="28">
        <v>0</v>
      </c>
      <c r="M81" s="28"/>
      <c r="N81" s="28"/>
      <c r="O81" s="28"/>
      <c r="P81" s="28">
        <f t="shared" si="52"/>
        <v>1000000</v>
      </c>
      <c r="Q81" s="28">
        <f>5800000-G81-P81</f>
        <v>900000</v>
      </c>
      <c r="R81" s="27">
        <v>24</v>
      </c>
      <c r="S81" s="29"/>
      <c r="T81" s="30">
        <f t="shared" si="65"/>
        <v>5800000</v>
      </c>
      <c r="U81" s="28">
        <f t="shared" si="66"/>
        <v>0</v>
      </c>
      <c r="V81" s="28">
        <f t="shared" si="67"/>
        <v>0</v>
      </c>
      <c r="W81" s="28">
        <f t="shared" si="77"/>
        <v>5800000</v>
      </c>
      <c r="X81" s="28">
        <v>11000000</v>
      </c>
      <c r="Y81" s="30"/>
      <c r="Z81" s="28"/>
      <c r="AA81" s="28">
        <f t="shared" si="68"/>
        <v>409500</v>
      </c>
      <c r="AB81" s="31">
        <f t="shared" ref="AB81:AB165" si="78">+IF(W81-X81-Z81-AA81&gt;0,W81-X81-Z81-AA81,0)</f>
        <v>0</v>
      </c>
      <c r="AC81" s="32">
        <f t="shared" ref="AC81:AC140" si="79">ROUND(IF(AB81&gt;80000000,AB81*35%-9850000,IF(AB81&gt;52000000,AB81*30%-5850000,IF(AB81&gt;32000000,AB81*25%-3250000,IF(AB81&gt;18000000,AB81*20%-1650000,IF(AB81&gt;10000000,AB81*15%-750000,IF(AB81&gt;5000000,AB81*10%-250000,IF(AB81&gt;0,AB81*5%,0))))))),0)</f>
        <v>0</v>
      </c>
      <c r="AD81" s="32">
        <f t="shared" si="69"/>
        <v>39000</v>
      </c>
      <c r="AE81" s="28">
        <f t="shared" si="70"/>
        <v>5351500</v>
      </c>
      <c r="AF81" s="28">
        <f t="shared" si="72"/>
        <v>5351500</v>
      </c>
      <c r="AG81" s="35">
        <f t="shared" si="76"/>
        <v>0</v>
      </c>
      <c r="AH81" s="28"/>
      <c r="AI81" s="35">
        <f t="shared" si="71"/>
        <v>0</v>
      </c>
      <c r="AJ81" s="49" t="s">
        <v>174</v>
      </c>
    </row>
    <row r="82" spans="1:36" s="19" customFormat="1" ht="28.5" customHeight="1" x14ac:dyDescent="0.25">
      <c r="A82" s="23">
        <v>68</v>
      </c>
      <c r="B82" s="171" t="s">
        <v>177</v>
      </c>
      <c r="C82" s="193" t="s">
        <v>526</v>
      </c>
      <c r="D82" s="42" t="s">
        <v>343</v>
      </c>
      <c r="E82" s="26" t="s">
        <v>57</v>
      </c>
      <c r="F82" s="27">
        <v>24</v>
      </c>
      <c r="G82" s="28">
        <v>3900000</v>
      </c>
      <c r="H82" s="28">
        <f t="shared" si="51"/>
        <v>3900000</v>
      </c>
      <c r="I82" s="28"/>
      <c r="J82" s="28"/>
      <c r="K82" s="28">
        <v>1000000</v>
      </c>
      <c r="L82" s="28">
        <v>0</v>
      </c>
      <c r="M82" s="28"/>
      <c r="N82" s="28"/>
      <c r="O82" s="28"/>
      <c r="P82" s="28">
        <f t="shared" si="52"/>
        <v>1000000</v>
      </c>
      <c r="Q82" s="28">
        <f>6300000-G82-P82</f>
        <v>1400000</v>
      </c>
      <c r="R82" s="27">
        <v>24</v>
      </c>
      <c r="S82" s="29"/>
      <c r="T82" s="30">
        <f t="shared" si="65"/>
        <v>6300000</v>
      </c>
      <c r="U82" s="28">
        <f t="shared" si="66"/>
        <v>0</v>
      </c>
      <c r="V82" s="28">
        <f t="shared" si="67"/>
        <v>0</v>
      </c>
      <c r="W82" s="28">
        <f t="shared" si="77"/>
        <v>6300000</v>
      </c>
      <c r="X82" s="28">
        <v>11000000</v>
      </c>
      <c r="Y82" s="30"/>
      <c r="Z82" s="28"/>
      <c r="AA82" s="28">
        <f t="shared" si="68"/>
        <v>409500</v>
      </c>
      <c r="AB82" s="31">
        <f t="shared" si="78"/>
        <v>0</v>
      </c>
      <c r="AC82" s="32">
        <f t="shared" si="79"/>
        <v>0</v>
      </c>
      <c r="AD82" s="32">
        <f t="shared" si="69"/>
        <v>39000</v>
      </c>
      <c r="AE82" s="28">
        <f t="shared" si="70"/>
        <v>5851500</v>
      </c>
      <c r="AF82" s="28">
        <f t="shared" si="72"/>
        <v>5851500</v>
      </c>
      <c r="AG82" s="35">
        <f t="shared" si="76"/>
        <v>0</v>
      </c>
      <c r="AH82" s="28"/>
      <c r="AI82" s="35">
        <f t="shared" si="71"/>
        <v>0</v>
      </c>
      <c r="AJ82" s="49" t="s">
        <v>178</v>
      </c>
    </row>
    <row r="83" spans="1:36" s="19" customFormat="1" ht="28.5" customHeight="1" x14ac:dyDescent="0.25">
      <c r="A83" s="23">
        <v>69</v>
      </c>
      <c r="B83" s="172" t="s">
        <v>405</v>
      </c>
      <c r="C83" s="191" t="s">
        <v>527</v>
      </c>
      <c r="D83" s="42" t="s">
        <v>343</v>
      </c>
      <c r="E83" s="26" t="s">
        <v>57</v>
      </c>
      <c r="F83" s="27">
        <v>24</v>
      </c>
      <c r="G83" s="28">
        <v>3900000</v>
      </c>
      <c r="H83" s="28">
        <f t="shared" ref="H83" si="80">+G83+O83</f>
        <v>3900000</v>
      </c>
      <c r="I83" s="28"/>
      <c r="J83" s="28"/>
      <c r="K83" s="28">
        <v>1000000</v>
      </c>
      <c r="L83" s="28"/>
      <c r="M83" s="28"/>
      <c r="N83" s="28"/>
      <c r="O83" s="28"/>
      <c r="P83" s="28">
        <f>SUM(I83:O83)</f>
        <v>1000000</v>
      </c>
      <c r="Q83" s="28">
        <f>5500000-G83-P83</f>
        <v>600000</v>
      </c>
      <c r="R83" s="27">
        <v>24</v>
      </c>
      <c r="S83" s="29"/>
      <c r="T83" s="30">
        <f t="shared" si="65"/>
        <v>5500000</v>
      </c>
      <c r="U83" s="28"/>
      <c r="V83" s="28"/>
      <c r="W83" s="28">
        <f t="shared" ref="W83" si="81">IF(T83-U83-V83&lt;0,0,T83-U83-V83)</f>
        <v>5500000</v>
      </c>
      <c r="X83" s="28">
        <v>11000000</v>
      </c>
      <c r="Y83" s="30"/>
      <c r="Z83" s="28"/>
      <c r="AA83" s="28">
        <f t="shared" ref="AA83:AA85" si="82">ROUND(H83*10.5%,0)</f>
        <v>409500</v>
      </c>
      <c r="AB83" s="31">
        <f t="shared" ref="AB83" si="83">+IF(W83-X83-Z83-AA83&gt;0,W83-X83-Z83-AA83,0)</f>
        <v>0</v>
      </c>
      <c r="AC83" s="32">
        <f t="shared" ref="AC83" si="84">ROUND(IF(AB83&gt;80000000,AB83*35%-9850000,IF(AB83&gt;52000000,AB83*30%-5850000,IF(AB83&gt;32000000,AB83*25%-3250000,IF(AB83&gt;18000000,AB83*20%-1650000,IF(AB83&gt;10000000,AB83*15%-750000,IF(AB83&gt;5000000,AB83*10%-250000,IF(AB83&gt;0,AB83*5%,0))))))),0)</f>
        <v>0</v>
      </c>
      <c r="AD83" s="32">
        <f t="shared" ref="AD83" si="85">ROUND(H83*1%,0)</f>
        <v>39000</v>
      </c>
      <c r="AE83" s="28">
        <f t="shared" si="70"/>
        <v>5051500</v>
      </c>
      <c r="AF83" s="28">
        <f t="shared" ref="AF83" si="86">+AE83</f>
        <v>5051500</v>
      </c>
      <c r="AG83" s="35">
        <f t="shared" ref="AG83" si="87">+AE83-AF83</f>
        <v>0</v>
      </c>
      <c r="AH83" s="28"/>
      <c r="AI83" s="35">
        <f t="shared" si="71"/>
        <v>0</v>
      </c>
      <c r="AJ83" s="49" t="s">
        <v>414</v>
      </c>
    </row>
    <row r="84" spans="1:36" s="19" customFormat="1" ht="28.5" customHeight="1" x14ac:dyDescent="0.25">
      <c r="A84" s="23">
        <v>70</v>
      </c>
      <c r="B84" s="172" t="s">
        <v>406</v>
      </c>
      <c r="C84" s="191" t="s">
        <v>528</v>
      </c>
      <c r="D84" s="42" t="s">
        <v>343</v>
      </c>
      <c r="E84" s="26" t="s">
        <v>57</v>
      </c>
      <c r="F84" s="27">
        <v>24</v>
      </c>
      <c r="G84" s="28">
        <v>3900000</v>
      </c>
      <c r="H84" s="28">
        <f t="shared" ref="H84:H86" si="88">+G84+O84</f>
        <v>3900000</v>
      </c>
      <c r="I84" s="28"/>
      <c r="J84" s="28"/>
      <c r="K84" s="28">
        <v>1000000</v>
      </c>
      <c r="L84" s="28"/>
      <c r="M84" s="28"/>
      <c r="N84" s="28"/>
      <c r="O84" s="28"/>
      <c r="P84" s="28">
        <f>SUM(I84:O84)</f>
        <v>1000000</v>
      </c>
      <c r="Q84" s="28">
        <f>5500000-G84-P84</f>
        <v>600000</v>
      </c>
      <c r="R84" s="27">
        <v>24</v>
      </c>
      <c r="S84" s="29"/>
      <c r="T84" s="30">
        <f t="shared" ref="T84" si="89">ROUND((G84+P84+Q84)/F84*R84,0)</f>
        <v>5500000</v>
      </c>
      <c r="U84" s="28"/>
      <c r="V84" s="28"/>
      <c r="W84" s="28">
        <f t="shared" ref="W84" si="90">IF(T84-U84-V84&lt;0,0,T84-U84-V84)</f>
        <v>5500000</v>
      </c>
      <c r="X84" s="28">
        <v>11000000</v>
      </c>
      <c r="Y84" s="30"/>
      <c r="Z84" s="28"/>
      <c r="AA84" s="28">
        <f t="shared" si="82"/>
        <v>409500</v>
      </c>
      <c r="AB84" s="31">
        <f t="shared" ref="AB84:AB85" si="91">+IF(W84-X84-Z84-AA84&gt;0,W84-X84-Z84-AA84,0)</f>
        <v>0</v>
      </c>
      <c r="AC84" s="32">
        <f t="shared" ref="AC84:AC85" si="92">ROUND(IF(AB84&gt;80000000,AB84*35%-9850000,IF(AB84&gt;52000000,AB84*30%-5850000,IF(AB84&gt;32000000,AB84*25%-3250000,IF(AB84&gt;18000000,AB84*20%-1650000,IF(AB84&gt;10000000,AB84*15%-750000,IF(AB84&gt;5000000,AB84*10%-250000,IF(AB84&gt;0,AB84*5%,0))))))),0)</f>
        <v>0</v>
      </c>
      <c r="AD84" s="32">
        <f t="shared" ref="AD84:AD85" si="93">ROUND(H84*1%,0)</f>
        <v>39000</v>
      </c>
      <c r="AE84" s="28">
        <f t="shared" si="70"/>
        <v>5051500</v>
      </c>
      <c r="AF84" s="28">
        <f t="shared" ref="AF84:AF85" si="94">+AE84</f>
        <v>5051500</v>
      </c>
      <c r="AG84" s="35">
        <f t="shared" ref="AG84:AG85" si="95">+AE84-AF84</f>
        <v>0</v>
      </c>
      <c r="AH84" s="28"/>
      <c r="AI84" s="35">
        <f t="shared" si="71"/>
        <v>0</v>
      </c>
      <c r="AJ84" s="49" t="s">
        <v>415</v>
      </c>
    </row>
    <row r="85" spans="1:36" s="19" customFormat="1" ht="28.5" customHeight="1" x14ac:dyDescent="0.25">
      <c r="A85" s="23">
        <v>71</v>
      </c>
      <c r="B85" s="172" t="s">
        <v>378</v>
      </c>
      <c r="C85" s="191" t="s">
        <v>529</v>
      </c>
      <c r="D85" s="42" t="s">
        <v>343</v>
      </c>
      <c r="E85" s="26" t="s">
        <v>44</v>
      </c>
      <c r="F85" s="27">
        <v>24</v>
      </c>
      <c r="G85" s="28">
        <v>5000000</v>
      </c>
      <c r="H85" s="28">
        <f t="shared" si="88"/>
        <v>5000000</v>
      </c>
      <c r="I85" s="28"/>
      <c r="J85" s="28"/>
      <c r="K85" s="28">
        <v>1000000</v>
      </c>
      <c r="L85" s="28"/>
      <c r="M85" s="28"/>
      <c r="N85" s="28"/>
      <c r="O85" s="28"/>
      <c r="P85" s="28">
        <f>SUM(I85:O85)</f>
        <v>1000000</v>
      </c>
      <c r="Q85" s="28">
        <f>9500000-G85-P85</f>
        <v>3500000</v>
      </c>
      <c r="R85" s="27">
        <v>24</v>
      </c>
      <c r="S85" s="29"/>
      <c r="T85" s="30">
        <f>ROUND((G85+P85+Q85)/F85*R85,0)</f>
        <v>9500000</v>
      </c>
      <c r="U85" s="28"/>
      <c r="V85" s="28"/>
      <c r="W85" s="28">
        <f>IF(T85-U85-V85&lt;0,0,T85-U85-V85)</f>
        <v>9500000</v>
      </c>
      <c r="X85" s="28">
        <v>11000000</v>
      </c>
      <c r="Y85" s="30"/>
      <c r="Z85" s="28"/>
      <c r="AA85" s="28">
        <f t="shared" si="82"/>
        <v>525000</v>
      </c>
      <c r="AB85" s="31">
        <f t="shared" si="91"/>
        <v>0</v>
      </c>
      <c r="AC85" s="32">
        <f t="shared" si="92"/>
        <v>0</v>
      </c>
      <c r="AD85" s="32">
        <f t="shared" si="93"/>
        <v>50000</v>
      </c>
      <c r="AE85" s="28">
        <f t="shared" si="70"/>
        <v>8925000</v>
      </c>
      <c r="AF85" s="28">
        <f t="shared" si="94"/>
        <v>8925000</v>
      </c>
      <c r="AG85" s="35">
        <f t="shared" si="95"/>
        <v>0</v>
      </c>
      <c r="AH85" s="28"/>
      <c r="AI85" s="35">
        <f t="shared" si="71"/>
        <v>0</v>
      </c>
      <c r="AJ85" s="49" t="s">
        <v>386</v>
      </c>
    </row>
    <row r="86" spans="1:36" s="19" customFormat="1" ht="28.5" customHeight="1" x14ac:dyDescent="0.25">
      <c r="A86" s="23">
        <v>72</v>
      </c>
      <c r="B86" s="172" t="s">
        <v>257</v>
      </c>
      <c r="C86" s="191"/>
      <c r="D86" s="25" t="s">
        <v>413</v>
      </c>
      <c r="E86" s="26" t="s">
        <v>44</v>
      </c>
      <c r="F86" s="27">
        <v>24</v>
      </c>
      <c r="G86" s="28">
        <v>5000000</v>
      </c>
      <c r="H86" s="28">
        <f t="shared" si="88"/>
        <v>6000000</v>
      </c>
      <c r="I86" s="28"/>
      <c r="J86" s="28"/>
      <c r="K86" s="28">
        <v>1000000</v>
      </c>
      <c r="L86" s="28">
        <v>0</v>
      </c>
      <c r="M86" s="28"/>
      <c r="N86" s="28"/>
      <c r="O86" s="28">
        <v>1000000</v>
      </c>
      <c r="P86" s="28">
        <f t="shared" si="52"/>
        <v>2000000</v>
      </c>
      <c r="Q86" s="28">
        <f>58200000-G86-P86</f>
        <v>51200000</v>
      </c>
      <c r="R86" s="27">
        <v>24</v>
      </c>
      <c r="S86" s="29"/>
      <c r="T86" s="30">
        <f>ROUND((G86+P86+Q86)/F86*R86,0)</f>
        <v>58200000</v>
      </c>
      <c r="U86" s="28"/>
      <c r="V86" s="50"/>
      <c r="W86" s="28">
        <f>+T86-U86-V86</f>
        <v>58200000</v>
      </c>
      <c r="X86" s="28">
        <v>11000000</v>
      </c>
      <c r="Y86" s="30">
        <v>4</v>
      </c>
      <c r="Z86" s="28">
        <f>4400000*Y86</f>
        <v>17600000</v>
      </c>
      <c r="AA86" s="28">
        <f t="shared" si="68"/>
        <v>630000</v>
      </c>
      <c r="AB86" s="31">
        <f t="shared" si="78"/>
        <v>28970000</v>
      </c>
      <c r="AC86" s="32">
        <f t="shared" si="79"/>
        <v>4144000</v>
      </c>
      <c r="AD86" s="32">
        <f t="shared" si="69"/>
        <v>60000</v>
      </c>
      <c r="AE86" s="28">
        <f t="shared" si="70"/>
        <v>53366000</v>
      </c>
      <c r="AF86" s="28">
        <v>20000000</v>
      </c>
      <c r="AG86" s="35">
        <f>+AE86-AF86</f>
        <v>33366000</v>
      </c>
      <c r="AH86" s="28"/>
      <c r="AI86" s="35">
        <f t="shared" si="71"/>
        <v>1</v>
      </c>
      <c r="AJ86" s="161" t="s">
        <v>321</v>
      </c>
    </row>
    <row r="87" spans="1:36" s="19" customFormat="1" ht="28.5" customHeight="1" x14ac:dyDescent="0.25">
      <c r="A87" s="23">
        <v>73</v>
      </c>
      <c r="B87" s="171" t="s">
        <v>175</v>
      </c>
      <c r="C87" s="193" t="s">
        <v>530</v>
      </c>
      <c r="D87" s="42" t="s">
        <v>255</v>
      </c>
      <c r="E87" s="26" t="s">
        <v>57</v>
      </c>
      <c r="F87" s="27">
        <v>24</v>
      </c>
      <c r="G87" s="28">
        <v>3900000</v>
      </c>
      <c r="H87" s="28">
        <f>+G87+O87</f>
        <v>3900000</v>
      </c>
      <c r="I87" s="28"/>
      <c r="J87" s="28"/>
      <c r="K87" s="28">
        <v>1000000</v>
      </c>
      <c r="L87" s="28">
        <v>0</v>
      </c>
      <c r="M87" s="28"/>
      <c r="N87" s="28"/>
      <c r="O87" s="28"/>
      <c r="P87" s="28">
        <f t="shared" ref="P87:P92" si="96">SUM(I87:O87)</f>
        <v>1000000</v>
      </c>
      <c r="Q87" s="28">
        <f>6000000-G87-P87</f>
        <v>1100000</v>
      </c>
      <c r="R87" s="27">
        <v>24</v>
      </c>
      <c r="S87" s="29"/>
      <c r="T87" s="30">
        <f t="shared" si="65"/>
        <v>6000000</v>
      </c>
      <c r="U87" s="28">
        <f t="shared" si="66"/>
        <v>0</v>
      </c>
      <c r="V87" s="28">
        <f t="shared" si="67"/>
        <v>0</v>
      </c>
      <c r="W87" s="28">
        <f t="shared" ref="W87:W94" si="97">IF(T87-U87-V87&lt;0,0,T87-U87-V87)</f>
        <v>6000000</v>
      </c>
      <c r="X87" s="28">
        <v>11000000</v>
      </c>
      <c r="Y87" s="30"/>
      <c r="Z87" s="28"/>
      <c r="AA87" s="28">
        <f t="shared" si="68"/>
        <v>409500</v>
      </c>
      <c r="AB87" s="31">
        <f t="shared" si="78"/>
        <v>0</v>
      </c>
      <c r="AC87" s="32">
        <f t="shared" si="79"/>
        <v>0</v>
      </c>
      <c r="AD87" s="32">
        <f t="shared" si="69"/>
        <v>39000</v>
      </c>
      <c r="AE87" s="28">
        <f t="shared" si="70"/>
        <v>5551500</v>
      </c>
      <c r="AF87" s="28">
        <f>+AE87</f>
        <v>5551500</v>
      </c>
      <c r="AG87" s="35">
        <f>+AE87-AF87</f>
        <v>0</v>
      </c>
      <c r="AH87" s="28"/>
      <c r="AI87" s="35">
        <f t="shared" si="71"/>
        <v>0</v>
      </c>
      <c r="AJ87" s="49" t="s">
        <v>176</v>
      </c>
    </row>
    <row r="88" spans="1:36" s="19" customFormat="1" ht="28.5" customHeight="1" x14ac:dyDescent="0.25">
      <c r="A88" s="23">
        <v>74</v>
      </c>
      <c r="B88" s="171" t="s">
        <v>229</v>
      </c>
      <c r="C88" s="193" t="s">
        <v>531</v>
      </c>
      <c r="D88" s="42" t="s">
        <v>255</v>
      </c>
      <c r="E88" s="26" t="s">
        <v>57</v>
      </c>
      <c r="F88" s="27">
        <v>24</v>
      </c>
      <c r="G88" s="28">
        <v>3900000</v>
      </c>
      <c r="H88" s="28">
        <f t="shared" si="51"/>
        <v>3900000</v>
      </c>
      <c r="I88" s="28"/>
      <c r="J88" s="28"/>
      <c r="K88" s="28">
        <v>1000000</v>
      </c>
      <c r="L88" s="28">
        <v>0</v>
      </c>
      <c r="M88" s="28"/>
      <c r="N88" s="28"/>
      <c r="O88" s="28"/>
      <c r="P88" s="28">
        <f t="shared" si="96"/>
        <v>1000000</v>
      </c>
      <c r="Q88" s="28">
        <f>8000000-G88-P88</f>
        <v>3100000</v>
      </c>
      <c r="R88" s="27">
        <v>24</v>
      </c>
      <c r="S88" s="29"/>
      <c r="T88" s="30">
        <f t="shared" si="65"/>
        <v>8000000</v>
      </c>
      <c r="U88" s="28"/>
      <c r="V88" s="28">
        <f t="shared" si="67"/>
        <v>0</v>
      </c>
      <c r="W88" s="28">
        <f t="shared" si="97"/>
        <v>8000000</v>
      </c>
      <c r="X88" s="28">
        <v>11000000</v>
      </c>
      <c r="Y88" s="30"/>
      <c r="Z88" s="28"/>
      <c r="AA88" s="28">
        <f t="shared" si="68"/>
        <v>409500</v>
      </c>
      <c r="AB88" s="31">
        <f t="shared" si="78"/>
        <v>0</v>
      </c>
      <c r="AC88" s="32">
        <f t="shared" si="79"/>
        <v>0</v>
      </c>
      <c r="AD88" s="32">
        <f t="shared" si="69"/>
        <v>39000</v>
      </c>
      <c r="AE88" s="28">
        <f t="shared" si="70"/>
        <v>7551500</v>
      </c>
      <c r="AF88" s="28">
        <f t="shared" si="72"/>
        <v>7551500</v>
      </c>
      <c r="AG88" s="35">
        <f t="shared" si="76"/>
        <v>0</v>
      </c>
      <c r="AH88" s="28"/>
      <c r="AI88" s="35">
        <f t="shared" si="71"/>
        <v>0</v>
      </c>
      <c r="AJ88" s="49" t="s">
        <v>230</v>
      </c>
    </row>
    <row r="89" spans="1:36" s="19" customFormat="1" ht="28.5" customHeight="1" x14ac:dyDescent="0.25">
      <c r="A89" s="23">
        <v>75</v>
      </c>
      <c r="B89" s="172" t="s">
        <v>231</v>
      </c>
      <c r="C89" s="191" t="s">
        <v>532</v>
      </c>
      <c r="D89" s="42" t="s">
        <v>255</v>
      </c>
      <c r="E89" s="26" t="s">
        <v>44</v>
      </c>
      <c r="F89" s="27">
        <v>24</v>
      </c>
      <c r="G89" s="28">
        <v>5000000</v>
      </c>
      <c r="H89" s="28">
        <f t="shared" si="51"/>
        <v>5000000</v>
      </c>
      <c r="I89" s="28"/>
      <c r="J89" s="28"/>
      <c r="K89" s="28">
        <v>1000000</v>
      </c>
      <c r="L89" s="28">
        <v>0</v>
      </c>
      <c r="M89" s="28"/>
      <c r="N89" s="28"/>
      <c r="O89" s="28"/>
      <c r="P89" s="28">
        <f t="shared" si="96"/>
        <v>1000000</v>
      </c>
      <c r="Q89" s="28">
        <f>9700000-G89-P89</f>
        <v>3700000</v>
      </c>
      <c r="R89" s="27">
        <v>24</v>
      </c>
      <c r="S89" s="29"/>
      <c r="T89" s="30">
        <f t="shared" si="65"/>
        <v>9700000</v>
      </c>
      <c r="U89" s="28"/>
      <c r="V89" s="28">
        <f t="shared" si="67"/>
        <v>0</v>
      </c>
      <c r="W89" s="28">
        <f t="shared" si="97"/>
        <v>9700000</v>
      </c>
      <c r="X89" s="28">
        <v>11000000</v>
      </c>
      <c r="Y89" s="30"/>
      <c r="Z89" s="28"/>
      <c r="AA89" s="28">
        <f t="shared" si="68"/>
        <v>525000</v>
      </c>
      <c r="AB89" s="31">
        <f t="shared" si="78"/>
        <v>0</v>
      </c>
      <c r="AC89" s="32">
        <f t="shared" si="79"/>
        <v>0</v>
      </c>
      <c r="AD89" s="32">
        <f t="shared" si="69"/>
        <v>50000</v>
      </c>
      <c r="AE89" s="28">
        <f t="shared" si="70"/>
        <v>9125000</v>
      </c>
      <c r="AF89" s="28">
        <f t="shared" si="72"/>
        <v>9125000</v>
      </c>
      <c r="AG89" s="35">
        <f t="shared" si="76"/>
        <v>0</v>
      </c>
      <c r="AH89" s="28"/>
      <c r="AI89" s="35">
        <f t="shared" si="71"/>
        <v>0</v>
      </c>
      <c r="AJ89" s="49" t="s">
        <v>232</v>
      </c>
    </row>
    <row r="90" spans="1:36" s="19" customFormat="1" ht="28.5" customHeight="1" x14ac:dyDescent="0.25">
      <c r="A90" s="23">
        <v>76</v>
      </c>
      <c r="B90" s="172" t="s">
        <v>247</v>
      </c>
      <c r="C90" s="191" t="s">
        <v>533</v>
      </c>
      <c r="D90" s="42" t="s">
        <v>345</v>
      </c>
      <c r="E90" s="26" t="s">
        <v>44</v>
      </c>
      <c r="F90" s="27">
        <v>24</v>
      </c>
      <c r="G90" s="28">
        <v>5000000</v>
      </c>
      <c r="H90" s="28">
        <f t="shared" si="51"/>
        <v>5000000</v>
      </c>
      <c r="I90" s="28"/>
      <c r="J90" s="28"/>
      <c r="K90" s="28">
        <v>1000000</v>
      </c>
      <c r="L90" s="28"/>
      <c r="M90" s="28"/>
      <c r="N90" s="28"/>
      <c r="O90" s="28"/>
      <c r="P90" s="28">
        <f t="shared" si="96"/>
        <v>1000000</v>
      </c>
      <c r="Q90" s="28">
        <f>11600000-G90-P90</f>
        <v>5600000</v>
      </c>
      <c r="R90" s="27">
        <v>24</v>
      </c>
      <c r="S90" s="29"/>
      <c r="T90" s="30">
        <f t="shared" ref="T90:T95" si="98">ROUND((G90+P90+Q90)/F90*R90,0)</f>
        <v>11600000</v>
      </c>
      <c r="U90" s="28"/>
      <c r="V90" s="50">
        <f>+N90</f>
        <v>0</v>
      </c>
      <c r="W90" s="28">
        <f t="shared" si="97"/>
        <v>11600000</v>
      </c>
      <c r="X90" s="28">
        <v>11000000</v>
      </c>
      <c r="Y90" s="30"/>
      <c r="Z90" s="28"/>
      <c r="AA90" s="28">
        <f t="shared" si="68"/>
        <v>525000</v>
      </c>
      <c r="AB90" s="31">
        <f t="shared" si="78"/>
        <v>75000</v>
      </c>
      <c r="AC90" s="32">
        <f t="shared" si="79"/>
        <v>3750</v>
      </c>
      <c r="AD90" s="32">
        <f t="shared" si="69"/>
        <v>50000</v>
      </c>
      <c r="AE90" s="28">
        <f t="shared" si="70"/>
        <v>11021250</v>
      </c>
      <c r="AF90" s="28">
        <f t="shared" si="72"/>
        <v>11021250</v>
      </c>
      <c r="AG90" s="35">
        <f t="shared" si="76"/>
        <v>0</v>
      </c>
      <c r="AH90" s="28"/>
      <c r="AI90" s="35">
        <f t="shared" si="71"/>
        <v>1</v>
      </c>
      <c r="AJ90" s="49" t="s">
        <v>248</v>
      </c>
    </row>
    <row r="91" spans="1:36" s="19" customFormat="1" ht="28.5" customHeight="1" x14ac:dyDescent="0.25">
      <c r="A91" s="23">
        <v>77</v>
      </c>
      <c r="B91" s="172" t="s">
        <v>401</v>
      </c>
      <c r="C91" s="191"/>
      <c r="D91" s="42" t="s">
        <v>345</v>
      </c>
      <c r="E91" s="26" t="s">
        <v>57</v>
      </c>
      <c r="F91" s="27">
        <v>24</v>
      </c>
      <c r="G91" s="28">
        <v>3900000</v>
      </c>
      <c r="H91" s="28">
        <f t="shared" si="51"/>
        <v>3900000</v>
      </c>
      <c r="I91" s="28"/>
      <c r="J91" s="28"/>
      <c r="K91" s="28">
        <v>1000000</v>
      </c>
      <c r="L91" s="28"/>
      <c r="M91" s="28"/>
      <c r="N91" s="28"/>
      <c r="O91" s="28"/>
      <c r="P91" s="28">
        <f t="shared" si="96"/>
        <v>1000000</v>
      </c>
      <c r="Q91" s="28">
        <f>5500000-G91-P91</f>
        <v>600000</v>
      </c>
      <c r="R91" s="27">
        <v>24</v>
      </c>
      <c r="S91" s="29"/>
      <c r="T91" s="30">
        <f t="shared" si="98"/>
        <v>5500000</v>
      </c>
      <c r="U91" s="28"/>
      <c r="V91" s="28"/>
      <c r="W91" s="28">
        <f t="shared" si="97"/>
        <v>5500000</v>
      </c>
      <c r="X91" s="28">
        <v>11000000</v>
      </c>
      <c r="Y91" s="30"/>
      <c r="Z91" s="28"/>
      <c r="AA91" s="28">
        <f t="shared" si="68"/>
        <v>409500</v>
      </c>
      <c r="AB91" s="31">
        <f t="shared" si="78"/>
        <v>0</v>
      </c>
      <c r="AC91" s="32">
        <f t="shared" si="79"/>
        <v>0</v>
      </c>
      <c r="AD91" s="32">
        <f t="shared" si="69"/>
        <v>39000</v>
      </c>
      <c r="AE91" s="28">
        <f t="shared" si="70"/>
        <v>5051500</v>
      </c>
      <c r="AF91" s="28">
        <f t="shared" si="72"/>
        <v>5051500</v>
      </c>
      <c r="AG91" s="35">
        <f t="shared" si="76"/>
        <v>0</v>
      </c>
      <c r="AH91" s="28"/>
      <c r="AI91" s="35">
        <f t="shared" si="71"/>
        <v>0</v>
      </c>
      <c r="AJ91" s="49" t="s">
        <v>409</v>
      </c>
    </row>
    <row r="92" spans="1:36" s="19" customFormat="1" ht="28.5" customHeight="1" x14ac:dyDescent="0.25">
      <c r="A92" s="23">
        <v>78</v>
      </c>
      <c r="B92" s="172" t="s">
        <v>402</v>
      </c>
      <c r="C92" s="191"/>
      <c r="D92" s="42" t="s">
        <v>345</v>
      </c>
      <c r="E92" s="26" t="s">
        <v>57</v>
      </c>
      <c r="F92" s="27">
        <v>24</v>
      </c>
      <c r="G92" s="28">
        <v>3900000</v>
      </c>
      <c r="H92" s="28">
        <f t="shared" si="51"/>
        <v>3900000</v>
      </c>
      <c r="I92" s="28"/>
      <c r="J92" s="28"/>
      <c r="K92" s="28">
        <v>1000000</v>
      </c>
      <c r="L92" s="28"/>
      <c r="M92" s="28"/>
      <c r="N92" s="28"/>
      <c r="O92" s="28"/>
      <c r="P92" s="28">
        <f t="shared" si="96"/>
        <v>1000000</v>
      </c>
      <c r="Q92" s="28">
        <f>5500000-G92-P92</f>
        <v>600000</v>
      </c>
      <c r="R92" s="27">
        <v>24</v>
      </c>
      <c r="S92" s="29"/>
      <c r="T92" s="30">
        <f t="shared" si="98"/>
        <v>5500000</v>
      </c>
      <c r="U92" s="28"/>
      <c r="V92" s="28"/>
      <c r="W92" s="28">
        <f t="shared" si="97"/>
        <v>5500000</v>
      </c>
      <c r="X92" s="28">
        <v>11000000</v>
      </c>
      <c r="Y92" s="30"/>
      <c r="Z92" s="28"/>
      <c r="AA92" s="28">
        <f t="shared" si="68"/>
        <v>409500</v>
      </c>
      <c r="AB92" s="31">
        <f t="shared" si="78"/>
        <v>0</v>
      </c>
      <c r="AC92" s="32">
        <f t="shared" si="79"/>
        <v>0</v>
      </c>
      <c r="AD92" s="32">
        <f t="shared" si="69"/>
        <v>39000</v>
      </c>
      <c r="AE92" s="28">
        <f t="shared" si="70"/>
        <v>5051500</v>
      </c>
      <c r="AF92" s="28">
        <f t="shared" si="72"/>
        <v>5051500</v>
      </c>
      <c r="AG92" s="35">
        <f t="shared" si="76"/>
        <v>0</v>
      </c>
      <c r="AH92" s="28"/>
      <c r="AI92" s="35">
        <f t="shared" si="71"/>
        <v>0</v>
      </c>
      <c r="AJ92" s="49" t="s">
        <v>410</v>
      </c>
    </row>
    <row r="93" spans="1:36" s="19" customFormat="1" ht="28.5" customHeight="1" x14ac:dyDescent="0.25">
      <c r="A93" s="23">
        <v>79</v>
      </c>
      <c r="B93" s="172" t="s">
        <v>403</v>
      </c>
      <c r="C93" s="191"/>
      <c r="D93" s="42" t="s">
        <v>345</v>
      </c>
      <c r="E93" s="26" t="s">
        <v>57</v>
      </c>
      <c r="F93" s="27">
        <v>24</v>
      </c>
      <c r="G93" s="28">
        <v>3900000</v>
      </c>
      <c r="H93" s="28">
        <f t="shared" si="51"/>
        <v>3900000</v>
      </c>
      <c r="I93" s="28"/>
      <c r="J93" s="28"/>
      <c r="K93" s="28">
        <v>1000000</v>
      </c>
      <c r="L93" s="28"/>
      <c r="M93" s="28"/>
      <c r="N93" s="28"/>
      <c r="O93" s="28"/>
      <c r="P93" s="28">
        <f>SUM(I93:O93)</f>
        <v>1000000</v>
      </c>
      <c r="Q93" s="28">
        <f>5500000-G93-P93</f>
        <v>600000</v>
      </c>
      <c r="R93" s="27">
        <v>24</v>
      </c>
      <c r="S93" s="29"/>
      <c r="T93" s="30">
        <f t="shared" si="98"/>
        <v>5500000</v>
      </c>
      <c r="U93" s="28"/>
      <c r="V93" s="28"/>
      <c r="W93" s="28">
        <f t="shared" si="97"/>
        <v>5500000</v>
      </c>
      <c r="X93" s="28">
        <v>11000000</v>
      </c>
      <c r="Y93" s="30"/>
      <c r="Z93" s="28"/>
      <c r="AA93" s="28">
        <f t="shared" si="68"/>
        <v>409500</v>
      </c>
      <c r="AB93" s="31">
        <f t="shared" ref="AB93" si="99">+IF(W93-X93-Z93-AA93&gt;0,W93-X93-Z93-AA93,0)</f>
        <v>0</v>
      </c>
      <c r="AC93" s="32">
        <f t="shared" ref="AC93" si="100">ROUND(IF(AB93&gt;80000000,AB93*35%-9850000,IF(AB93&gt;52000000,AB93*30%-5850000,IF(AB93&gt;32000000,AB93*25%-3250000,IF(AB93&gt;18000000,AB93*20%-1650000,IF(AB93&gt;10000000,AB93*15%-750000,IF(AB93&gt;5000000,AB93*10%-250000,IF(AB93&gt;0,AB93*5%,0))))))),0)</f>
        <v>0</v>
      </c>
      <c r="AD93" s="32">
        <f t="shared" ref="AD93" si="101">ROUND(H93*1%,0)</f>
        <v>39000</v>
      </c>
      <c r="AE93" s="28">
        <f t="shared" si="70"/>
        <v>5051500</v>
      </c>
      <c r="AF93" s="28">
        <f t="shared" ref="AF93" si="102">+AE93</f>
        <v>5051500</v>
      </c>
      <c r="AG93" s="35">
        <f t="shared" ref="AG93" si="103">+AE93-AF93</f>
        <v>0</v>
      </c>
      <c r="AH93" s="28"/>
      <c r="AI93" s="35">
        <f t="shared" si="71"/>
        <v>0</v>
      </c>
      <c r="AJ93" s="49" t="s">
        <v>411</v>
      </c>
    </row>
    <row r="94" spans="1:36" s="19" customFormat="1" ht="28.5" customHeight="1" x14ac:dyDescent="0.25">
      <c r="A94" s="23">
        <v>80</v>
      </c>
      <c r="B94" s="172" t="s">
        <v>404</v>
      </c>
      <c r="C94" s="191"/>
      <c r="D94" s="42" t="s">
        <v>345</v>
      </c>
      <c r="E94" s="26" t="s">
        <v>57</v>
      </c>
      <c r="F94" s="27">
        <v>24</v>
      </c>
      <c r="G94" s="28">
        <v>3900000</v>
      </c>
      <c r="H94" s="28">
        <f t="shared" ref="H94:H95" si="104">+G94+O94</f>
        <v>3900000</v>
      </c>
      <c r="I94" s="28"/>
      <c r="J94" s="28"/>
      <c r="K94" s="28">
        <v>1000000</v>
      </c>
      <c r="L94" s="28"/>
      <c r="M94" s="28"/>
      <c r="N94" s="28"/>
      <c r="O94" s="28"/>
      <c r="P94" s="28">
        <f>SUM(I94:O94)</f>
        <v>1000000</v>
      </c>
      <c r="Q94" s="28">
        <f>5500000-G94-P94</f>
        <v>600000</v>
      </c>
      <c r="R94" s="27">
        <v>24</v>
      </c>
      <c r="S94" s="29"/>
      <c r="T94" s="30">
        <f t="shared" si="98"/>
        <v>5500000</v>
      </c>
      <c r="U94" s="28"/>
      <c r="V94" s="28"/>
      <c r="W94" s="28">
        <f t="shared" si="97"/>
        <v>5500000</v>
      </c>
      <c r="X94" s="28">
        <v>11000000</v>
      </c>
      <c r="Y94" s="30"/>
      <c r="Z94" s="28"/>
      <c r="AA94" s="28">
        <f t="shared" ref="AA94:AA95" si="105">ROUND(H94*10.5%,0)</f>
        <v>409500</v>
      </c>
      <c r="AB94" s="31">
        <f t="shared" ref="AB94:AB95" si="106">+IF(W94-X94-Z94-AA94&gt;0,W94-X94-Z94-AA94,0)</f>
        <v>0</v>
      </c>
      <c r="AC94" s="32">
        <f t="shared" ref="AC94:AC95" si="107">ROUND(IF(AB94&gt;80000000,AB94*35%-9850000,IF(AB94&gt;52000000,AB94*30%-5850000,IF(AB94&gt;32000000,AB94*25%-3250000,IF(AB94&gt;18000000,AB94*20%-1650000,IF(AB94&gt;10000000,AB94*15%-750000,IF(AB94&gt;5000000,AB94*10%-250000,IF(AB94&gt;0,AB94*5%,0))))))),0)</f>
        <v>0</v>
      </c>
      <c r="AD94" s="32">
        <f t="shared" ref="AD94:AD95" si="108">ROUND(H94*1%,0)</f>
        <v>39000</v>
      </c>
      <c r="AE94" s="28">
        <f t="shared" si="70"/>
        <v>5051500</v>
      </c>
      <c r="AF94" s="28">
        <f t="shared" ref="AF94:AF95" si="109">+AE94</f>
        <v>5051500</v>
      </c>
      <c r="AG94" s="35">
        <f t="shared" ref="AG94:AG95" si="110">+AE94-AF94</f>
        <v>0</v>
      </c>
      <c r="AH94" s="28"/>
      <c r="AI94" s="35">
        <f t="shared" si="71"/>
        <v>0</v>
      </c>
      <c r="AJ94" s="49" t="s">
        <v>412</v>
      </c>
    </row>
    <row r="95" spans="1:36" s="19" customFormat="1" ht="28.5" customHeight="1" x14ac:dyDescent="0.25">
      <c r="A95" s="23">
        <v>81</v>
      </c>
      <c r="B95" s="172" t="s">
        <v>379</v>
      </c>
      <c r="C95" s="191"/>
      <c r="D95" s="42" t="s">
        <v>345</v>
      </c>
      <c r="E95" s="26" t="s">
        <v>44</v>
      </c>
      <c r="F95" s="27">
        <v>24</v>
      </c>
      <c r="G95" s="28">
        <v>5000000</v>
      </c>
      <c r="H95" s="28">
        <f t="shared" si="104"/>
        <v>5000000</v>
      </c>
      <c r="I95" s="28"/>
      <c r="J95" s="28"/>
      <c r="K95" s="28">
        <v>1000000</v>
      </c>
      <c r="L95" s="28"/>
      <c r="M95" s="28"/>
      <c r="N95" s="28"/>
      <c r="O95" s="28"/>
      <c r="P95" s="28">
        <f>SUM(I95:O95)</f>
        <v>1000000</v>
      </c>
      <c r="Q95" s="28">
        <f>8500000-G95-P95</f>
        <v>2500000</v>
      </c>
      <c r="R95" s="27">
        <v>24</v>
      </c>
      <c r="S95" s="29"/>
      <c r="T95" s="30">
        <f t="shared" si="98"/>
        <v>8500000</v>
      </c>
      <c r="U95" s="28"/>
      <c r="V95" s="28"/>
      <c r="W95" s="28">
        <f>IF(T95-U95-V95&lt;0,0,T95-U95-V95)</f>
        <v>8500000</v>
      </c>
      <c r="X95" s="28">
        <v>11000000</v>
      </c>
      <c r="Y95" s="30"/>
      <c r="Z95" s="28"/>
      <c r="AA95" s="28">
        <f t="shared" si="105"/>
        <v>525000</v>
      </c>
      <c r="AB95" s="31">
        <f t="shared" si="106"/>
        <v>0</v>
      </c>
      <c r="AC95" s="32">
        <f t="shared" si="107"/>
        <v>0</v>
      </c>
      <c r="AD95" s="32">
        <f t="shared" si="108"/>
        <v>50000</v>
      </c>
      <c r="AE95" s="28">
        <f t="shared" si="70"/>
        <v>7925000</v>
      </c>
      <c r="AF95" s="28">
        <f t="shared" si="109"/>
        <v>7925000</v>
      </c>
      <c r="AG95" s="35">
        <f t="shared" si="110"/>
        <v>0</v>
      </c>
      <c r="AH95" s="28"/>
      <c r="AI95" s="35">
        <f t="shared" si="71"/>
        <v>0</v>
      </c>
      <c r="AJ95" s="49" t="s">
        <v>385</v>
      </c>
    </row>
    <row r="96" spans="1:36" s="19" customFormat="1" ht="28.5" customHeight="1" x14ac:dyDescent="0.25">
      <c r="A96" s="23">
        <v>82</v>
      </c>
      <c r="B96" s="172" t="s">
        <v>179</v>
      </c>
      <c r="C96" s="191" t="s">
        <v>534</v>
      </c>
      <c r="D96" s="42" t="s">
        <v>180</v>
      </c>
      <c r="E96" s="26" t="s">
        <v>44</v>
      </c>
      <c r="F96" s="27">
        <v>24</v>
      </c>
      <c r="G96" s="28">
        <v>5000000</v>
      </c>
      <c r="H96" s="28">
        <f t="shared" si="51"/>
        <v>6000000</v>
      </c>
      <c r="I96" s="28"/>
      <c r="J96" s="28"/>
      <c r="K96" s="28">
        <v>1000000</v>
      </c>
      <c r="L96" s="28">
        <v>0</v>
      </c>
      <c r="M96" s="28"/>
      <c r="N96" s="28"/>
      <c r="O96" s="28">
        <v>1000000</v>
      </c>
      <c r="P96" s="28">
        <f t="shared" si="52"/>
        <v>2000000</v>
      </c>
      <c r="Q96" s="28">
        <f>25000000-G96-P96</f>
        <v>18000000</v>
      </c>
      <c r="R96" s="27">
        <v>24</v>
      </c>
      <c r="S96" s="29"/>
      <c r="T96" s="30">
        <f t="shared" si="65"/>
        <v>25000000</v>
      </c>
      <c r="U96" s="28">
        <f t="shared" ref="U96:U123" si="111">+I96</f>
        <v>0</v>
      </c>
      <c r="V96" s="28">
        <f t="shared" si="67"/>
        <v>0</v>
      </c>
      <c r="W96" s="28">
        <f>+T96-U96-V96</f>
        <v>25000000</v>
      </c>
      <c r="X96" s="28">
        <v>11000000</v>
      </c>
      <c r="Y96" s="30">
        <v>2</v>
      </c>
      <c r="Z96" s="28">
        <f>4400000*Y96</f>
        <v>8800000</v>
      </c>
      <c r="AA96" s="28">
        <f t="shared" si="68"/>
        <v>630000</v>
      </c>
      <c r="AB96" s="31">
        <f>+IF(W96-X96-Z96-AA96&gt;0,W96-X96-Z96-AA96,0)</f>
        <v>4570000</v>
      </c>
      <c r="AC96" s="32">
        <f>ROUND(IF(AB96&gt;80000000,AB96*35%-9850000,IF(AB96&gt;52000000,AB96*30%-5850000,IF(AB96&gt;32000000,AB96*25%-3250000,IF(AB96&gt;18000000,AB96*20%-1650000,IF(AB96&gt;10000000,AB96*15%-750000,IF(AB96&gt;5000000,AB96*10%-250000,IF(AB96&gt;0,AB96*5%,0))))))),0)</f>
        <v>228500</v>
      </c>
      <c r="AD96" s="32">
        <f t="shared" si="69"/>
        <v>60000</v>
      </c>
      <c r="AE96" s="28">
        <f t="shared" si="70"/>
        <v>24081500</v>
      </c>
      <c r="AF96" s="28">
        <v>20000000</v>
      </c>
      <c r="AG96" s="35">
        <f>+AE96-AF96</f>
        <v>4081500</v>
      </c>
      <c r="AH96" s="28"/>
      <c r="AI96" s="35">
        <f t="shared" si="71"/>
        <v>1</v>
      </c>
      <c r="AJ96" s="22" t="s">
        <v>181</v>
      </c>
    </row>
    <row r="97" spans="1:36" s="19" customFormat="1" ht="28.5" customHeight="1" x14ac:dyDescent="0.25">
      <c r="A97" s="23">
        <v>83</v>
      </c>
      <c r="B97" s="172" t="s">
        <v>234</v>
      </c>
      <c r="C97" s="191" t="s">
        <v>535</v>
      </c>
      <c r="D97" s="42" t="s">
        <v>183</v>
      </c>
      <c r="E97" s="26" t="s">
        <v>57</v>
      </c>
      <c r="F97" s="27">
        <v>24</v>
      </c>
      <c r="G97" s="28">
        <v>3900000</v>
      </c>
      <c r="H97" s="28">
        <f>+G97+O97</f>
        <v>3900000</v>
      </c>
      <c r="I97" s="28"/>
      <c r="J97" s="28"/>
      <c r="K97" s="28">
        <v>1000000</v>
      </c>
      <c r="L97" s="28">
        <v>0</v>
      </c>
      <c r="M97" s="28"/>
      <c r="N97" s="28"/>
      <c r="O97" s="28"/>
      <c r="P97" s="28">
        <f>SUM(I97:O97)</f>
        <v>1000000</v>
      </c>
      <c r="Q97" s="28">
        <f>6500000-G97-P97</f>
        <v>1600000</v>
      </c>
      <c r="R97" s="27">
        <v>24</v>
      </c>
      <c r="S97" s="29"/>
      <c r="T97" s="30">
        <f t="shared" si="65"/>
        <v>6500000</v>
      </c>
      <c r="U97" s="28">
        <f t="shared" si="111"/>
        <v>0</v>
      </c>
      <c r="V97" s="28">
        <f t="shared" si="67"/>
        <v>0</v>
      </c>
      <c r="W97" s="28">
        <f>IF(T97-U97-V97&lt;0,0,T97-U97-V97)</f>
        <v>6500000</v>
      </c>
      <c r="X97" s="28">
        <v>11000000</v>
      </c>
      <c r="Y97" s="30"/>
      <c r="Z97" s="28"/>
      <c r="AA97" s="28">
        <f t="shared" si="68"/>
        <v>409500</v>
      </c>
      <c r="AB97" s="31">
        <f t="shared" si="78"/>
        <v>0</v>
      </c>
      <c r="AC97" s="32">
        <f t="shared" si="79"/>
        <v>0</v>
      </c>
      <c r="AD97" s="32">
        <f t="shared" si="69"/>
        <v>39000</v>
      </c>
      <c r="AE97" s="28">
        <f t="shared" si="70"/>
        <v>6051500</v>
      </c>
      <c r="AF97" s="28">
        <f t="shared" ref="AF97:AF109" si="112">+AE97</f>
        <v>6051500</v>
      </c>
      <c r="AG97" s="35">
        <f t="shared" si="76"/>
        <v>0</v>
      </c>
      <c r="AH97" s="28"/>
      <c r="AI97" s="35">
        <f t="shared" si="71"/>
        <v>0</v>
      </c>
      <c r="AJ97" s="43" t="s">
        <v>235</v>
      </c>
    </row>
    <row r="98" spans="1:36" s="19" customFormat="1" ht="28.5" customHeight="1" x14ac:dyDescent="0.25">
      <c r="A98" s="23">
        <v>84</v>
      </c>
      <c r="B98" s="172" t="s">
        <v>182</v>
      </c>
      <c r="C98" s="191" t="s">
        <v>536</v>
      </c>
      <c r="D98" s="42" t="s">
        <v>183</v>
      </c>
      <c r="E98" s="26" t="s">
        <v>57</v>
      </c>
      <c r="F98" s="27">
        <v>24</v>
      </c>
      <c r="G98" s="28">
        <v>3900000</v>
      </c>
      <c r="H98" s="28">
        <f t="shared" si="51"/>
        <v>3900000</v>
      </c>
      <c r="I98" s="28"/>
      <c r="J98" s="28"/>
      <c r="K98" s="28">
        <v>1000000</v>
      </c>
      <c r="L98" s="28">
        <v>0</v>
      </c>
      <c r="M98" s="28"/>
      <c r="N98" s="28"/>
      <c r="O98" s="28"/>
      <c r="P98" s="28">
        <f t="shared" si="52"/>
        <v>1000000</v>
      </c>
      <c r="Q98" s="28">
        <f>6000000-G98-P98</f>
        <v>1100000</v>
      </c>
      <c r="R98" s="27">
        <v>24</v>
      </c>
      <c r="S98" s="29"/>
      <c r="T98" s="30">
        <f t="shared" si="65"/>
        <v>6000000</v>
      </c>
      <c r="U98" s="28">
        <f t="shared" si="111"/>
        <v>0</v>
      </c>
      <c r="V98" s="28">
        <f t="shared" si="67"/>
        <v>0</v>
      </c>
      <c r="W98" s="28">
        <f>+T98-U98-V98</f>
        <v>6000000</v>
      </c>
      <c r="X98" s="28">
        <v>11000000</v>
      </c>
      <c r="Y98" s="30"/>
      <c r="Z98" s="28"/>
      <c r="AA98" s="28">
        <f t="shared" si="68"/>
        <v>409500</v>
      </c>
      <c r="AB98" s="31">
        <f t="shared" si="78"/>
        <v>0</v>
      </c>
      <c r="AC98" s="32">
        <f t="shared" si="79"/>
        <v>0</v>
      </c>
      <c r="AD98" s="32">
        <f t="shared" si="69"/>
        <v>39000</v>
      </c>
      <c r="AE98" s="28">
        <f t="shared" ref="AE98:AE125" si="113">ROUND(T98-AA98-AC98-AD98,0)</f>
        <v>5551500</v>
      </c>
      <c r="AF98" s="28">
        <f t="shared" si="112"/>
        <v>5551500</v>
      </c>
      <c r="AG98" s="35">
        <f t="shared" si="76"/>
        <v>0</v>
      </c>
      <c r="AH98" s="28"/>
      <c r="AI98" s="35">
        <f t="shared" ref="AI98:AI125" si="114">+IF(AC98&gt;0,1,0)</f>
        <v>0</v>
      </c>
      <c r="AJ98" s="43" t="s">
        <v>184</v>
      </c>
    </row>
    <row r="99" spans="1:36" s="19" customFormat="1" ht="28.5" customHeight="1" x14ac:dyDescent="0.25">
      <c r="A99" s="23">
        <v>85</v>
      </c>
      <c r="B99" s="172" t="s">
        <v>185</v>
      </c>
      <c r="C99" s="191" t="s">
        <v>537</v>
      </c>
      <c r="D99" s="42" t="s">
        <v>183</v>
      </c>
      <c r="E99" s="26" t="s">
        <v>57</v>
      </c>
      <c r="F99" s="27">
        <v>24</v>
      </c>
      <c r="G99" s="28">
        <v>3900000</v>
      </c>
      <c r="H99" s="28">
        <f t="shared" si="51"/>
        <v>3900000</v>
      </c>
      <c r="I99" s="28"/>
      <c r="J99" s="28"/>
      <c r="K99" s="28">
        <v>1000000</v>
      </c>
      <c r="L99" s="28">
        <v>0</v>
      </c>
      <c r="M99" s="28"/>
      <c r="N99" s="28"/>
      <c r="O99" s="28"/>
      <c r="P99" s="28">
        <f t="shared" si="52"/>
        <v>1000000</v>
      </c>
      <c r="Q99" s="28">
        <f>6500000-G99-P99</f>
        <v>1600000</v>
      </c>
      <c r="R99" s="27">
        <v>24</v>
      </c>
      <c r="S99" s="29"/>
      <c r="T99" s="30">
        <f t="shared" si="65"/>
        <v>6500000</v>
      </c>
      <c r="U99" s="28">
        <f t="shared" si="111"/>
        <v>0</v>
      </c>
      <c r="V99" s="28">
        <f t="shared" si="67"/>
        <v>0</v>
      </c>
      <c r="W99" s="28">
        <f>+T99-U99-V99</f>
        <v>6500000</v>
      </c>
      <c r="X99" s="28">
        <v>11000000</v>
      </c>
      <c r="Y99" s="30"/>
      <c r="Z99" s="28"/>
      <c r="AA99" s="28">
        <f t="shared" si="68"/>
        <v>409500</v>
      </c>
      <c r="AB99" s="31">
        <f t="shared" si="78"/>
        <v>0</v>
      </c>
      <c r="AC99" s="32">
        <f t="shared" si="79"/>
        <v>0</v>
      </c>
      <c r="AD99" s="32">
        <f t="shared" si="69"/>
        <v>39000</v>
      </c>
      <c r="AE99" s="28">
        <f t="shared" si="113"/>
        <v>6051500</v>
      </c>
      <c r="AF99" s="28">
        <f t="shared" si="112"/>
        <v>6051500</v>
      </c>
      <c r="AG99" s="35">
        <f t="shared" si="76"/>
        <v>0</v>
      </c>
      <c r="AH99" s="28"/>
      <c r="AI99" s="35">
        <f t="shared" si="114"/>
        <v>0</v>
      </c>
      <c r="AJ99" s="49" t="s">
        <v>186</v>
      </c>
    </row>
    <row r="100" spans="1:36" s="19" customFormat="1" ht="28.5" customHeight="1" x14ac:dyDescent="0.25">
      <c r="A100" s="23">
        <v>86</v>
      </c>
      <c r="B100" s="172" t="s">
        <v>187</v>
      </c>
      <c r="C100" s="191" t="s">
        <v>538</v>
      </c>
      <c r="D100" s="42" t="s">
        <v>183</v>
      </c>
      <c r="E100" s="26" t="s">
        <v>57</v>
      </c>
      <c r="F100" s="27">
        <v>24</v>
      </c>
      <c r="G100" s="28">
        <v>3900000</v>
      </c>
      <c r="H100" s="28">
        <f t="shared" si="51"/>
        <v>3900000</v>
      </c>
      <c r="I100" s="28"/>
      <c r="J100" s="28"/>
      <c r="K100" s="28">
        <v>1000000</v>
      </c>
      <c r="L100" s="28">
        <v>0</v>
      </c>
      <c r="M100" s="28"/>
      <c r="N100" s="28"/>
      <c r="O100" s="28"/>
      <c r="P100" s="28">
        <f t="shared" si="52"/>
        <v>1000000</v>
      </c>
      <c r="Q100" s="28">
        <f>5500000-G100-P100</f>
        <v>600000</v>
      </c>
      <c r="R100" s="27">
        <v>24</v>
      </c>
      <c r="S100" s="29"/>
      <c r="T100" s="30">
        <f t="shared" si="65"/>
        <v>5500000</v>
      </c>
      <c r="U100" s="28">
        <f t="shared" si="111"/>
        <v>0</v>
      </c>
      <c r="V100" s="28">
        <f t="shared" si="67"/>
        <v>0</v>
      </c>
      <c r="W100" s="28">
        <f>+T100-U100-V100</f>
        <v>5500000</v>
      </c>
      <c r="X100" s="28">
        <v>11000000</v>
      </c>
      <c r="Y100" s="30"/>
      <c r="Z100" s="28"/>
      <c r="AA100" s="28">
        <f t="shared" si="68"/>
        <v>409500</v>
      </c>
      <c r="AB100" s="31">
        <f t="shared" si="78"/>
        <v>0</v>
      </c>
      <c r="AC100" s="32">
        <f t="shared" si="79"/>
        <v>0</v>
      </c>
      <c r="AD100" s="32">
        <f t="shared" si="69"/>
        <v>39000</v>
      </c>
      <c r="AE100" s="28">
        <f t="shared" si="113"/>
        <v>5051500</v>
      </c>
      <c r="AF100" s="28">
        <f t="shared" si="112"/>
        <v>5051500</v>
      </c>
      <c r="AG100" s="35">
        <f t="shared" si="76"/>
        <v>0</v>
      </c>
      <c r="AH100" s="28"/>
      <c r="AI100" s="35">
        <f t="shared" si="114"/>
        <v>0</v>
      </c>
      <c r="AJ100" s="49" t="s">
        <v>188</v>
      </c>
    </row>
    <row r="101" spans="1:36" s="19" customFormat="1" ht="28.5" customHeight="1" x14ac:dyDescent="0.25">
      <c r="A101" s="23">
        <v>87</v>
      </c>
      <c r="B101" s="172" t="s">
        <v>219</v>
      </c>
      <c r="C101" s="191" t="s">
        <v>539</v>
      </c>
      <c r="D101" s="42" t="s">
        <v>183</v>
      </c>
      <c r="E101" s="26" t="s">
        <v>57</v>
      </c>
      <c r="F101" s="27">
        <v>24</v>
      </c>
      <c r="G101" s="28">
        <v>3900000</v>
      </c>
      <c r="H101" s="28">
        <f>+G101+O101</f>
        <v>3900000</v>
      </c>
      <c r="I101" s="28"/>
      <c r="J101" s="28"/>
      <c r="K101" s="28">
        <v>1000000</v>
      </c>
      <c r="L101" s="28">
        <v>0</v>
      </c>
      <c r="M101" s="28"/>
      <c r="N101" s="28"/>
      <c r="O101" s="28"/>
      <c r="P101" s="28">
        <f>SUM(I101:O101)</f>
        <v>1000000</v>
      </c>
      <c r="Q101" s="28">
        <f>5500000-G101-P101</f>
        <v>600000</v>
      </c>
      <c r="R101" s="27">
        <v>24</v>
      </c>
      <c r="S101" s="29"/>
      <c r="T101" s="30">
        <f t="shared" si="65"/>
        <v>5500000</v>
      </c>
      <c r="U101" s="28">
        <f t="shared" si="111"/>
        <v>0</v>
      </c>
      <c r="V101" s="28">
        <f t="shared" si="67"/>
        <v>0</v>
      </c>
      <c r="W101" s="28">
        <f>+T101-U101-V101</f>
        <v>5500000</v>
      </c>
      <c r="X101" s="28">
        <v>11000000</v>
      </c>
      <c r="Y101" s="30"/>
      <c r="Z101" s="28"/>
      <c r="AA101" s="28">
        <f t="shared" si="68"/>
        <v>409500</v>
      </c>
      <c r="AB101" s="31">
        <f>+IF(W101-X101-Z101-AA101&gt;0,W101-X101-Z101-AA101,0)</f>
        <v>0</v>
      </c>
      <c r="AC101" s="32">
        <f>ROUND(IF(AB101&gt;80000000,AB101*35%-9850000,IF(AB101&gt;52000000,AB101*30%-5850000,IF(AB101&gt;32000000,AB101*25%-3250000,IF(AB101&gt;18000000,AB101*20%-1650000,IF(AB101&gt;10000000,AB101*15%-750000,IF(AB101&gt;5000000,AB101*10%-250000,IF(AB101&gt;0,AB101*5%,0))))))),0)</f>
        <v>0</v>
      </c>
      <c r="AD101" s="32">
        <f t="shared" si="69"/>
        <v>39000</v>
      </c>
      <c r="AE101" s="28">
        <f t="shared" si="113"/>
        <v>5051500</v>
      </c>
      <c r="AF101" s="28">
        <f>+AE101</f>
        <v>5051500</v>
      </c>
      <c r="AG101" s="35">
        <f>+AE101-AF101</f>
        <v>0</v>
      </c>
      <c r="AH101" s="28"/>
      <c r="AI101" s="35">
        <f t="shared" si="114"/>
        <v>0</v>
      </c>
      <c r="AJ101" s="49" t="s">
        <v>220</v>
      </c>
    </row>
    <row r="102" spans="1:36" s="19" customFormat="1" ht="28.5" customHeight="1" x14ac:dyDescent="0.25">
      <c r="A102" s="23">
        <v>88</v>
      </c>
      <c r="B102" s="172" t="s">
        <v>258</v>
      </c>
      <c r="C102" s="191" t="s">
        <v>540</v>
      </c>
      <c r="D102" s="42" t="s">
        <v>183</v>
      </c>
      <c r="E102" s="26" t="s">
        <v>57</v>
      </c>
      <c r="F102" s="27">
        <v>24</v>
      </c>
      <c r="G102" s="28">
        <v>3900000</v>
      </c>
      <c r="H102" s="28">
        <f>+G102+O102</f>
        <v>3900000</v>
      </c>
      <c r="I102" s="28"/>
      <c r="J102" s="28"/>
      <c r="K102" s="28">
        <v>1000000</v>
      </c>
      <c r="L102" s="28">
        <v>0</v>
      </c>
      <c r="M102" s="28"/>
      <c r="N102" s="28"/>
      <c r="O102" s="28"/>
      <c r="P102" s="28">
        <f>SUM(I102:O102)</f>
        <v>1000000</v>
      </c>
      <c r="Q102" s="28">
        <f>5000000-G102-P102</f>
        <v>100000</v>
      </c>
      <c r="R102" s="27">
        <v>24</v>
      </c>
      <c r="S102" s="29"/>
      <c r="T102" s="30">
        <f>ROUND((G102+P102+Q102)/F102*R102,0)</f>
        <v>5000000</v>
      </c>
      <c r="U102" s="28">
        <f>+I102</f>
        <v>0</v>
      </c>
      <c r="V102" s="28">
        <f>+N102</f>
        <v>0</v>
      </c>
      <c r="W102" s="28">
        <f>IF(T102-U102-V102&lt;0,0,T102-U102-V102)</f>
        <v>5000000</v>
      </c>
      <c r="X102" s="28">
        <v>11000000</v>
      </c>
      <c r="Y102" s="30"/>
      <c r="Z102" s="28"/>
      <c r="AA102" s="28">
        <f t="shared" si="68"/>
        <v>409500</v>
      </c>
      <c r="AB102" s="31">
        <f>+IF(W102-X102-Z102-AA102&gt;0,W102-X102-Z102-AA102,0)</f>
        <v>0</v>
      </c>
      <c r="AC102" s="32">
        <f>ROUND(IF(AB102&gt;80000000,AB102*35%-9850000,IF(AB102&gt;52000000,AB102*30%-5850000,IF(AB102&gt;32000000,AB102*25%-3250000,IF(AB102&gt;18000000,AB102*20%-1650000,IF(AB102&gt;10000000,AB102*15%-750000,IF(AB102&gt;5000000,AB102*10%-250000,IF(AB102&gt;0,AB102*5%,0))))))),0)</f>
        <v>0</v>
      </c>
      <c r="AD102" s="32">
        <f t="shared" si="69"/>
        <v>39000</v>
      </c>
      <c r="AE102" s="28">
        <f t="shared" si="113"/>
        <v>4551500</v>
      </c>
      <c r="AF102" s="28">
        <f t="shared" ref="AF102:AF105" si="115">+AE102</f>
        <v>4551500</v>
      </c>
      <c r="AG102" s="35">
        <f t="shared" ref="AG102:AG105" si="116">+AE102-AF102</f>
        <v>0</v>
      </c>
      <c r="AH102" s="28"/>
      <c r="AI102" s="35">
        <f t="shared" si="114"/>
        <v>0</v>
      </c>
      <c r="AJ102" s="43" t="s">
        <v>318</v>
      </c>
    </row>
    <row r="103" spans="1:36" s="19" customFormat="1" ht="28.5" customHeight="1" x14ac:dyDescent="0.25">
      <c r="A103" s="23">
        <v>89</v>
      </c>
      <c r="B103" s="172" t="s">
        <v>359</v>
      </c>
      <c r="C103" s="191" t="s">
        <v>541</v>
      </c>
      <c r="D103" s="42" t="s">
        <v>183</v>
      </c>
      <c r="E103" s="26" t="s">
        <v>57</v>
      </c>
      <c r="F103" s="27">
        <v>24</v>
      </c>
      <c r="G103" s="28">
        <v>3900000</v>
      </c>
      <c r="H103" s="28">
        <f>+G103+O103</f>
        <v>3900000</v>
      </c>
      <c r="I103" s="28"/>
      <c r="J103" s="28"/>
      <c r="K103" s="28">
        <v>1000000</v>
      </c>
      <c r="L103" s="28"/>
      <c r="M103" s="28"/>
      <c r="N103" s="28"/>
      <c r="O103" s="28"/>
      <c r="P103" s="28">
        <f>SUM(I103:O103)</f>
        <v>1000000</v>
      </c>
      <c r="Q103" s="28">
        <f>7000000-G103-P103</f>
        <v>2100000</v>
      </c>
      <c r="R103" s="27">
        <v>24</v>
      </c>
      <c r="S103" s="29"/>
      <c r="T103" s="30">
        <f>ROUND((G103+P103+Q103)/F103*R103,0)</f>
        <v>7000000</v>
      </c>
      <c r="U103" s="28"/>
      <c r="V103" s="28"/>
      <c r="W103" s="30">
        <f>IF(T103-U103-V103&lt;0,0,T103-U103-V103)</f>
        <v>7000000</v>
      </c>
      <c r="X103" s="28">
        <v>11000000</v>
      </c>
      <c r="Y103" s="30"/>
      <c r="Z103" s="28"/>
      <c r="AA103" s="28">
        <f t="shared" si="68"/>
        <v>409500</v>
      </c>
      <c r="AB103" s="31">
        <f t="shared" ref="AB103:AB104" si="117">+IF(W103-X103-Z103-AA103&gt;0,W103-X103-Z103-AA103,0)</f>
        <v>0</v>
      </c>
      <c r="AC103" s="32">
        <f t="shared" ref="AC103:AC104" si="118">ROUND(IF(AB103&gt;80000000,AB103*35%-9850000,IF(AB103&gt;52000000,AB103*30%-5850000,IF(AB103&gt;32000000,AB103*25%-3250000,IF(AB103&gt;18000000,AB103*20%-1650000,IF(AB103&gt;10000000,AB103*15%-750000,IF(AB103&gt;5000000,AB103*10%-250000,IF(AB103&gt;0,AB103*5%,0))))))),0)</f>
        <v>0</v>
      </c>
      <c r="AD103" s="32">
        <f t="shared" si="69"/>
        <v>39000</v>
      </c>
      <c r="AE103" s="28">
        <f t="shared" si="113"/>
        <v>6551500</v>
      </c>
      <c r="AF103" s="28">
        <f>+AE103</f>
        <v>6551500</v>
      </c>
      <c r="AG103" s="33">
        <f>+AE103-AF103</f>
        <v>0</v>
      </c>
      <c r="AH103" s="28"/>
      <c r="AI103" s="35">
        <f>+IF(AC103&gt;0,1,0)</f>
        <v>0</v>
      </c>
      <c r="AJ103" s="43" t="s">
        <v>360</v>
      </c>
    </row>
    <row r="104" spans="1:36" s="19" customFormat="1" ht="28.5" customHeight="1" x14ac:dyDescent="0.25">
      <c r="A104" s="23">
        <v>90</v>
      </c>
      <c r="B104" s="172" t="s">
        <v>259</v>
      </c>
      <c r="C104" s="191" t="s">
        <v>542</v>
      </c>
      <c r="D104" s="42" t="s">
        <v>183</v>
      </c>
      <c r="E104" s="26" t="s">
        <v>57</v>
      </c>
      <c r="F104" s="27">
        <v>24</v>
      </c>
      <c r="G104" s="28">
        <v>3860000</v>
      </c>
      <c r="H104" s="28">
        <f>+G104+O104</f>
        <v>3860000</v>
      </c>
      <c r="I104" s="28"/>
      <c r="J104" s="28"/>
      <c r="K104" s="28">
        <v>0</v>
      </c>
      <c r="L104" s="28">
        <v>0</v>
      </c>
      <c r="M104" s="28"/>
      <c r="N104" s="28"/>
      <c r="O104" s="28"/>
      <c r="P104" s="28">
        <f>SUM(I104:O104)</f>
        <v>0</v>
      </c>
      <c r="Q104" s="28">
        <f>4500000-G104-P104</f>
        <v>640000</v>
      </c>
      <c r="R104" s="27">
        <v>24</v>
      </c>
      <c r="S104" s="29"/>
      <c r="T104" s="30">
        <f>ROUND((G104+P104+Q104)/F104*R104,0)</f>
        <v>4500000</v>
      </c>
      <c r="U104" s="28">
        <f>+I104</f>
        <v>0</v>
      </c>
      <c r="V104" s="28">
        <f>+N104</f>
        <v>0</v>
      </c>
      <c r="W104" s="30">
        <f>IF(T104-U104-V104&lt;0,0,T104-U104-V104)</f>
        <v>4500000</v>
      </c>
      <c r="X104" s="28">
        <v>11000000</v>
      </c>
      <c r="Y104" s="30"/>
      <c r="Z104" s="28"/>
      <c r="AA104" s="28">
        <f t="shared" si="68"/>
        <v>405300</v>
      </c>
      <c r="AB104" s="31">
        <f t="shared" si="117"/>
        <v>0</v>
      </c>
      <c r="AC104" s="32">
        <f t="shared" si="118"/>
        <v>0</v>
      </c>
      <c r="AD104" s="32">
        <f t="shared" si="69"/>
        <v>38600</v>
      </c>
      <c r="AE104" s="28">
        <f t="shared" si="113"/>
        <v>4056100</v>
      </c>
      <c r="AF104" s="28">
        <f>+AE104</f>
        <v>4056100</v>
      </c>
      <c r="AG104" s="33">
        <f>+AE104-AF104</f>
        <v>0</v>
      </c>
      <c r="AH104" s="28"/>
      <c r="AI104" s="35">
        <f>+IF(AC104&gt;0,1,0)</f>
        <v>0</v>
      </c>
      <c r="AJ104" s="43" t="s">
        <v>319</v>
      </c>
    </row>
    <row r="105" spans="1:36" s="19" customFormat="1" ht="28.5" customHeight="1" x14ac:dyDescent="0.25">
      <c r="A105" s="23">
        <v>91</v>
      </c>
      <c r="B105" s="172" t="s">
        <v>192</v>
      </c>
      <c r="C105" s="191" t="s">
        <v>543</v>
      </c>
      <c r="D105" s="42" t="s">
        <v>347</v>
      </c>
      <c r="E105" s="26" t="s">
        <v>44</v>
      </c>
      <c r="F105" s="27">
        <v>24</v>
      </c>
      <c r="G105" s="28">
        <v>5000000</v>
      </c>
      <c r="H105" s="28">
        <f>+G105+O105</f>
        <v>5500000</v>
      </c>
      <c r="I105" s="28"/>
      <c r="J105" s="28"/>
      <c r="K105" s="28">
        <v>1000000</v>
      </c>
      <c r="L105" s="28">
        <v>0</v>
      </c>
      <c r="M105" s="28"/>
      <c r="N105" s="28"/>
      <c r="O105" s="28">
        <v>500000</v>
      </c>
      <c r="P105" s="28">
        <f>SUM(I105:O105)</f>
        <v>1500000</v>
      </c>
      <c r="Q105" s="28">
        <f>15000000-G105-P105</f>
        <v>8500000</v>
      </c>
      <c r="R105" s="27">
        <v>24</v>
      </c>
      <c r="S105" s="29"/>
      <c r="T105" s="30">
        <f>ROUND((G105+P105+Q105)/F105*R105,0)</f>
        <v>15000000</v>
      </c>
      <c r="U105" s="28">
        <f>+I105</f>
        <v>0</v>
      </c>
      <c r="V105" s="28">
        <f>+N105</f>
        <v>0</v>
      </c>
      <c r="W105" s="28">
        <f>IF(T105-U105-V105&lt;0,0,T105-U105-V105)</f>
        <v>15000000</v>
      </c>
      <c r="X105" s="28">
        <v>11000000</v>
      </c>
      <c r="Y105" s="30"/>
      <c r="Z105" s="28"/>
      <c r="AA105" s="28">
        <f>ROUND(H105*10.5%,0)</f>
        <v>577500</v>
      </c>
      <c r="AB105" s="31">
        <f>+IF(W105-X105-Z105-AA105&gt;0,W105-X105-Z105-AA105,0)</f>
        <v>3422500</v>
      </c>
      <c r="AC105" s="32">
        <f>ROUND(IF(AB105&gt;80000000,AB105*35%-9850000,IF(AB105&gt;52000000,AB105*30%-5850000,IF(AB105&gt;32000000,AB105*25%-3250000,IF(AB105&gt;18000000,AB105*20%-1650000,IF(AB105&gt;10000000,AB105*15%-750000,IF(AB105&gt;5000000,AB105*10%-250000,IF(AB105&gt;0,AB105*5%,0))))))),0)</f>
        <v>171125</v>
      </c>
      <c r="AD105" s="32">
        <f>ROUND(H105*1%,0)</f>
        <v>55000</v>
      </c>
      <c r="AE105" s="28">
        <f t="shared" si="113"/>
        <v>14196375</v>
      </c>
      <c r="AF105" s="28">
        <f t="shared" si="115"/>
        <v>14196375</v>
      </c>
      <c r="AG105" s="35">
        <f t="shared" si="116"/>
        <v>0</v>
      </c>
      <c r="AH105" s="28"/>
      <c r="AI105" s="35">
        <f t="shared" si="114"/>
        <v>1</v>
      </c>
      <c r="AJ105" s="43" t="s">
        <v>193</v>
      </c>
    </row>
    <row r="106" spans="1:36" s="19" customFormat="1" ht="28.5" customHeight="1" x14ac:dyDescent="0.25">
      <c r="A106" s="23">
        <v>92</v>
      </c>
      <c r="B106" s="172" t="s">
        <v>189</v>
      </c>
      <c r="C106" s="191" t="s">
        <v>544</v>
      </c>
      <c r="D106" s="42" t="s">
        <v>190</v>
      </c>
      <c r="E106" s="26" t="s">
        <v>57</v>
      </c>
      <c r="F106" s="27">
        <v>24</v>
      </c>
      <c r="G106" s="28">
        <v>3900000</v>
      </c>
      <c r="H106" s="28">
        <f t="shared" si="51"/>
        <v>3900000</v>
      </c>
      <c r="I106" s="28"/>
      <c r="J106" s="28"/>
      <c r="K106" s="28">
        <v>1000000</v>
      </c>
      <c r="L106" s="28">
        <v>0</v>
      </c>
      <c r="M106" s="28"/>
      <c r="N106" s="28"/>
      <c r="O106" s="28"/>
      <c r="P106" s="28">
        <f t="shared" si="52"/>
        <v>1000000</v>
      </c>
      <c r="Q106" s="28">
        <f>6000000-G106-P106</f>
        <v>1100000</v>
      </c>
      <c r="R106" s="27">
        <v>24</v>
      </c>
      <c r="S106" s="29"/>
      <c r="T106" s="30">
        <f t="shared" si="65"/>
        <v>6000000</v>
      </c>
      <c r="U106" s="28">
        <f t="shared" si="111"/>
        <v>0</v>
      </c>
      <c r="V106" s="28">
        <f t="shared" si="67"/>
        <v>0</v>
      </c>
      <c r="W106" s="28">
        <f>+T106-U106-V106</f>
        <v>6000000</v>
      </c>
      <c r="X106" s="28">
        <v>11000000</v>
      </c>
      <c r="Y106" s="30"/>
      <c r="Z106" s="28"/>
      <c r="AA106" s="28">
        <f t="shared" si="68"/>
        <v>409500</v>
      </c>
      <c r="AB106" s="31">
        <f t="shared" si="78"/>
        <v>0</v>
      </c>
      <c r="AC106" s="32">
        <f t="shared" si="79"/>
        <v>0</v>
      </c>
      <c r="AD106" s="32">
        <f t="shared" si="69"/>
        <v>39000</v>
      </c>
      <c r="AE106" s="28">
        <f t="shared" si="113"/>
        <v>5551500</v>
      </c>
      <c r="AF106" s="28">
        <f t="shared" si="112"/>
        <v>5551500</v>
      </c>
      <c r="AG106" s="35">
        <f t="shared" si="76"/>
        <v>0</v>
      </c>
      <c r="AH106" s="28"/>
      <c r="AI106" s="35">
        <f t="shared" si="114"/>
        <v>0</v>
      </c>
      <c r="AJ106" s="43" t="s">
        <v>191</v>
      </c>
    </row>
    <row r="107" spans="1:36" s="19" customFormat="1" ht="28.5" customHeight="1" x14ac:dyDescent="0.25">
      <c r="A107" s="23">
        <v>93</v>
      </c>
      <c r="B107" s="172" t="s">
        <v>194</v>
      </c>
      <c r="C107" s="191" t="s">
        <v>545</v>
      </c>
      <c r="D107" s="42" t="s">
        <v>190</v>
      </c>
      <c r="E107" s="26" t="s">
        <v>57</v>
      </c>
      <c r="F107" s="27">
        <v>24</v>
      </c>
      <c r="G107" s="28">
        <v>3900000</v>
      </c>
      <c r="H107" s="28">
        <f t="shared" si="51"/>
        <v>3900000</v>
      </c>
      <c r="I107" s="28"/>
      <c r="J107" s="28"/>
      <c r="K107" s="28">
        <v>1000000</v>
      </c>
      <c r="L107" s="28">
        <v>0</v>
      </c>
      <c r="M107" s="28"/>
      <c r="N107" s="28"/>
      <c r="O107" s="28"/>
      <c r="P107" s="28">
        <f t="shared" si="52"/>
        <v>1000000</v>
      </c>
      <c r="Q107" s="28">
        <f>6000000-G107-P107</f>
        <v>1100000</v>
      </c>
      <c r="R107" s="27">
        <v>24</v>
      </c>
      <c r="S107" s="29"/>
      <c r="T107" s="30">
        <f t="shared" ref="T107:T123" si="119">ROUND((G107+P107+Q107)/F107*R107,0)</f>
        <v>6000000</v>
      </c>
      <c r="U107" s="28">
        <f t="shared" si="111"/>
        <v>0</v>
      </c>
      <c r="V107" s="28">
        <f t="shared" ref="V107:V123" si="120">+N107</f>
        <v>0</v>
      </c>
      <c r="W107" s="28">
        <f>IF(T107-U107-V107&lt;0,0,T107-U107-V107)</f>
        <v>6000000</v>
      </c>
      <c r="X107" s="28">
        <v>11000000</v>
      </c>
      <c r="Y107" s="30"/>
      <c r="Z107" s="28"/>
      <c r="AA107" s="28">
        <f t="shared" ref="AA107:AA123" si="121">ROUND(H107*10.5%,0)</f>
        <v>409500</v>
      </c>
      <c r="AB107" s="31">
        <f t="shared" si="78"/>
        <v>0</v>
      </c>
      <c r="AC107" s="32">
        <f t="shared" si="79"/>
        <v>0</v>
      </c>
      <c r="AD107" s="32">
        <f t="shared" ref="AD107:AD123" si="122">ROUND(H107*1%,0)</f>
        <v>39000</v>
      </c>
      <c r="AE107" s="28">
        <f t="shared" si="113"/>
        <v>5551500</v>
      </c>
      <c r="AF107" s="28">
        <f t="shared" si="112"/>
        <v>5551500</v>
      </c>
      <c r="AG107" s="35">
        <f>ROUND(AE107-AF107,-1)</f>
        <v>0</v>
      </c>
      <c r="AH107" s="28"/>
      <c r="AI107" s="35">
        <f t="shared" si="114"/>
        <v>0</v>
      </c>
      <c r="AJ107" s="49" t="s">
        <v>195</v>
      </c>
    </row>
    <row r="108" spans="1:36" s="19" customFormat="1" ht="28.5" customHeight="1" x14ac:dyDescent="0.25">
      <c r="A108" s="23">
        <v>94</v>
      </c>
      <c r="B108" s="172" t="s">
        <v>236</v>
      </c>
      <c r="C108" s="191" t="s">
        <v>546</v>
      </c>
      <c r="D108" s="42" t="s">
        <v>190</v>
      </c>
      <c r="E108" s="26" t="s">
        <v>44</v>
      </c>
      <c r="F108" s="27">
        <v>24</v>
      </c>
      <c r="G108" s="28">
        <v>5000000</v>
      </c>
      <c r="H108" s="28">
        <f t="shared" si="51"/>
        <v>5000000</v>
      </c>
      <c r="I108" s="28"/>
      <c r="J108" s="28"/>
      <c r="K108" s="28">
        <v>1000000</v>
      </c>
      <c r="L108" s="28">
        <v>0</v>
      </c>
      <c r="M108" s="28"/>
      <c r="N108" s="28"/>
      <c r="O108" s="28"/>
      <c r="P108" s="28">
        <f>SUM(I108:O108)</f>
        <v>1000000</v>
      </c>
      <c r="Q108" s="28">
        <f>11000000-G108-P108</f>
        <v>5000000</v>
      </c>
      <c r="R108" s="27">
        <v>24</v>
      </c>
      <c r="S108" s="29"/>
      <c r="T108" s="30">
        <f t="shared" si="119"/>
        <v>11000000</v>
      </c>
      <c r="U108" s="28">
        <f t="shared" si="111"/>
        <v>0</v>
      </c>
      <c r="V108" s="28">
        <f t="shared" si="120"/>
        <v>0</v>
      </c>
      <c r="W108" s="28">
        <f>IF(T108-U108-V108&lt;0,0,T108-U108-V108)</f>
        <v>11000000</v>
      </c>
      <c r="X108" s="28">
        <v>11000000</v>
      </c>
      <c r="Y108" s="30"/>
      <c r="Z108" s="28"/>
      <c r="AA108" s="28">
        <f t="shared" si="121"/>
        <v>525000</v>
      </c>
      <c r="AB108" s="31">
        <f t="shared" si="78"/>
        <v>0</v>
      </c>
      <c r="AC108" s="32">
        <f t="shared" si="79"/>
        <v>0</v>
      </c>
      <c r="AD108" s="32">
        <f t="shared" si="122"/>
        <v>50000</v>
      </c>
      <c r="AE108" s="28">
        <f t="shared" si="113"/>
        <v>10425000</v>
      </c>
      <c r="AF108" s="28">
        <f t="shared" si="112"/>
        <v>10425000</v>
      </c>
      <c r="AG108" s="35">
        <f>ROUND(AE108-AF108,-1)</f>
        <v>0</v>
      </c>
      <c r="AH108" s="28"/>
      <c r="AI108" s="35">
        <f t="shared" si="114"/>
        <v>0</v>
      </c>
      <c r="AJ108" s="43" t="s">
        <v>237</v>
      </c>
    </row>
    <row r="109" spans="1:36" s="19" customFormat="1" ht="28.5" customHeight="1" x14ac:dyDescent="0.25">
      <c r="A109" s="23">
        <v>95</v>
      </c>
      <c r="B109" s="172" t="s">
        <v>327</v>
      </c>
      <c r="C109" s="191" t="s">
        <v>547</v>
      </c>
      <c r="D109" s="42" t="s">
        <v>190</v>
      </c>
      <c r="E109" s="26" t="s">
        <v>57</v>
      </c>
      <c r="F109" s="27">
        <v>24</v>
      </c>
      <c r="G109" s="28">
        <v>3900000</v>
      </c>
      <c r="H109" s="28">
        <f t="shared" si="51"/>
        <v>3900000</v>
      </c>
      <c r="I109" s="28"/>
      <c r="J109" s="28"/>
      <c r="K109" s="28">
        <v>1000000</v>
      </c>
      <c r="L109" s="28"/>
      <c r="M109" s="28"/>
      <c r="N109" s="28"/>
      <c r="O109" s="28"/>
      <c r="P109" s="28">
        <f>SUM(I109:O109)</f>
        <v>1000000</v>
      </c>
      <c r="Q109" s="28">
        <f>6000000-G109-P109</f>
        <v>1100000</v>
      </c>
      <c r="R109" s="27">
        <v>24</v>
      </c>
      <c r="S109" s="29"/>
      <c r="T109" s="30">
        <f>ROUND((G109+P109+Q109)/F109*R109,0)</f>
        <v>6000000</v>
      </c>
      <c r="U109" s="28"/>
      <c r="V109" s="28"/>
      <c r="W109" s="28">
        <f>IF(T109-U109-V109&lt;0,0,T109-U109-V109)</f>
        <v>6000000</v>
      </c>
      <c r="X109" s="28">
        <v>11000000</v>
      </c>
      <c r="Y109" s="30"/>
      <c r="Z109" s="28"/>
      <c r="AA109" s="28">
        <f t="shared" si="121"/>
        <v>409500</v>
      </c>
      <c r="AB109" s="31">
        <f>+IF(W109-X109-Z109-AA109&gt;0,W109-X109-Z109-AA109,0)</f>
        <v>0</v>
      </c>
      <c r="AC109" s="32">
        <f>ROUND(IF(AB109&gt;80000000,AB109*35%-9850000,IF(AB109&gt;52000000,AB109*30%-5850000,IF(AB109&gt;32000000,AB109*25%-3250000,IF(AB109&gt;18000000,AB109*20%-1650000,IF(AB109&gt;10000000,AB109*15%-750000,IF(AB109&gt;5000000,AB109*10%-250000,IF(AB109&gt;0,AB109*5%,0))))))),0)</f>
        <v>0</v>
      </c>
      <c r="AD109" s="32">
        <f t="shared" si="122"/>
        <v>39000</v>
      </c>
      <c r="AE109" s="28">
        <f t="shared" si="113"/>
        <v>5551500</v>
      </c>
      <c r="AF109" s="28">
        <f t="shared" si="112"/>
        <v>5551500</v>
      </c>
      <c r="AG109" s="35">
        <f>ROUND(AE109-AF109,-1)</f>
        <v>0</v>
      </c>
      <c r="AH109" s="28"/>
      <c r="AI109" s="35">
        <f t="shared" si="114"/>
        <v>0</v>
      </c>
      <c r="AJ109" s="49" t="s">
        <v>328</v>
      </c>
    </row>
    <row r="110" spans="1:36" s="19" customFormat="1" ht="28.5" customHeight="1" x14ac:dyDescent="0.25">
      <c r="A110" s="23">
        <v>96</v>
      </c>
      <c r="B110" s="172" t="s">
        <v>196</v>
      </c>
      <c r="C110" s="191" t="s">
        <v>548</v>
      </c>
      <c r="D110" s="42" t="s">
        <v>349</v>
      </c>
      <c r="E110" s="26" t="s">
        <v>44</v>
      </c>
      <c r="F110" s="27">
        <v>24</v>
      </c>
      <c r="G110" s="28">
        <v>5000000</v>
      </c>
      <c r="H110" s="28">
        <f t="shared" si="51"/>
        <v>6000000</v>
      </c>
      <c r="I110" s="28"/>
      <c r="J110" s="28"/>
      <c r="K110" s="28">
        <v>1000000</v>
      </c>
      <c r="L110" s="28">
        <v>0</v>
      </c>
      <c r="M110" s="28"/>
      <c r="N110" s="28"/>
      <c r="O110" s="28">
        <v>1000000</v>
      </c>
      <c r="P110" s="28">
        <f t="shared" si="52"/>
        <v>2000000</v>
      </c>
      <c r="Q110" s="28">
        <f>37000000-G110-P110</f>
        <v>30000000</v>
      </c>
      <c r="R110" s="27">
        <v>24</v>
      </c>
      <c r="S110" s="29"/>
      <c r="T110" s="30">
        <f t="shared" si="119"/>
        <v>37000000</v>
      </c>
      <c r="U110" s="28">
        <f t="shared" si="111"/>
        <v>0</v>
      </c>
      <c r="V110" s="28">
        <f t="shared" si="120"/>
        <v>0</v>
      </c>
      <c r="W110" s="28">
        <f t="shared" ref="W110:W122" si="123">+T110-U110-V110</f>
        <v>37000000</v>
      </c>
      <c r="X110" s="28">
        <v>11000000</v>
      </c>
      <c r="Y110" s="30">
        <v>4</v>
      </c>
      <c r="Z110" s="28">
        <f t="shared" si="57"/>
        <v>17600000</v>
      </c>
      <c r="AA110" s="28">
        <f t="shared" si="121"/>
        <v>630000</v>
      </c>
      <c r="AB110" s="31">
        <f t="shared" si="78"/>
        <v>7770000</v>
      </c>
      <c r="AC110" s="32">
        <f t="shared" si="79"/>
        <v>527000</v>
      </c>
      <c r="AD110" s="32">
        <f t="shared" si="122"/>
        <v>60000</v>
      </c>
      <c r="AE110" s="28">
        <f t="shared" si="113"/>
        <v>35783000</v>
      </c>
      <c r="AF110" s="28">
        <v>15000000</v>
      </c>
      <c r="AG110" s="35">
        <f t="shared" ref="AG110:AG120" si="124">+AE110-AF110</f>
        <v>20783000</v>
      </c>
      <c r="AH110" s="28"/>
      <c r="AI110" s="35">
        <f t="shared" si="114"/>
        <v>1</v>
      </c>
      <c r="AJ110" s="161" t="s">
        <v>197</v>
      </c>
    </row>
    <row r="111" spans="1:36" s="19" customFormat="1" ht="28.5" customHeight="1" x14ac:dyDescent="0.25">
      <c r="A111" s="23">
        <v>97</v>
      </c>
      <c r="B111" s="172" t="s">
        <v>198</v>
      </c>
      <c r="C111" s="191" t="s">
        <v>549</v>
      </c>
      <c r="D111" s="42" t="s">
        <v>199</v>
      </c>
      <c r="E111" s="26" t="s">
        <v>44</v>
      </c>
      <c r="F111" s="27">
        <v>24</v>
      </c>
      <c r="G111" s="28">
        <v>5000000</v>
      </c>
      <c r="H111" s="28">
        <f t="shared" si="51"/>
        <v>5000000</v>
      </c>
      <c r="I111" s="28"/>
      <c r="J111" s="28"/>
      <c r="K111" s="28">
        <v>1000000</v>
      </c>
      <c r="L111" s="28">
        <v>0</v>
      </c>
      <c r="M111" s="28"/>
      <c r="N111" s="28"/>
      <c r="O111" s="28"/>
      <c r="P111" s="28">
        <f t="shared" si="52"/>
        <v>1000000</v>
      </c>
      <c r="Q111" s="28">
        <f>21000000-G111-P111</f>
        <v>15000000</v>
      </c>
      <c r="R111" s="27">
        <v>24</v>
      </c>
      <c r="S111" s="29"/>
      <c r="T111" s="30">
        <f t="shared" si="119"/>
        <v>21000000</v>
      </c>
      <c r="U111" s="28">
        <f t="shared" si="111"/>
        <v>0</v>
      </c>
      <c r="V111" s="28">
        <f t="shared" si="120"/>
        <v>0</v>
      </c>
      <c r="W111" s="28">
        <f t="shared" si="123"/>
        <v>21000000</v>
      </c>
      <c r="X111" s="28">
        <v>11000000</v>
      </c>
      <c r="Y111" s="30">
        <v>1</v>
      </c>
      <c r="Z111" s="28">
        <f t="shared" si="57"/>
        <v>4400000</v>
      </c>
      <c r="AA111" s="28">
        <f t="shared" si="121"/>
        <v>525000</v>
      </c>
      <c r="AB111" s="31">
        <f t="shared" si="78"/>
        <v>5075000</v>
      </c>
      <c r="AC111" s="32">
        <f t="shared" si="79"/>
        <v>257500</v>
      </c>
      <c r="AD111" s="32">
        <f t="shared" si="122"/>
        <v>50000</v>
      </c>
      <c r="AE111" s="28">
        <f t="shared" si="113"/>
        <v>20167500</v>
      </c>
      <c r="AF111" s="28">
        <f t="shared" ref="AF111:AF122" si="125">+AE111</f>
        <v>20167500</v>
      </c>
      <c r="AG111" s="35">
        <f t="shared" si="124"/>
        <v>0</v>
      </c>
      <c r="AH111" s="28"/>
      <c r="AI111" s="35">
        <f t="shared" si="114"/>
        <v>1</v>
      </c>
      <c r="AJ111" s="49" t="s">
        <v>200</v>
      </c>
    </row>
    <row r="112" spans="1:36" s="19" customFormat="1" ht="28.5" customHeight="1" x14ac:dyDescent="0.25">
      <c r="A112" s="23">
        <v>98</v>
      </c>
      <c r="B112" s="172" t="s">
        <v>201</v>
      </c>
      <c r="C112" s="191" t="s">
        <v>550</v>
      </c>
      <c r="D112" s="42" t="s">
        <v>199</v>
      </c>
      <c r="E112" s="26" t="s">
        <v>44</v>
      </c>
      <c r="F112" s="27">
        <v>24</v>
      </c>
      <c r="G112" s="28">
        <v>3900000</v>
      </c>
      <c r="H112" s="28">
        <f t="shared" ref="H112:H123" si="126">+G112+O112</f>
        <v>3900000</v>
      </c>
      <c r="I112" s="28"/>
      <c r="J112" s="28"/>
      <c r="K112" s="28">
        <v>1000000</v>
      </c>
      <c r="L112" s="28">
        <v>0</v>
      </c>
      <c r="M112" s="28"/>
      <c r="N112" s="28"/>
      <c r="O112" s="28"/>
      <c r="P112" s="28">
        <f t="shared" ref="P112:P123" si="127">SUM(I112:O112)</f>
        <v>1000000</v>
      </c>
      <c r="Q112" s="28">
        <f>8000000-G112-P112</f>
        <v>3100000</v>
      </c>
      <c r="R112" s="27">
        <v>24</v>
      </c>
      <c r="S112" s="29"/>
      <c r="T112" s="30">
        <f t="shared" si="119"/>
        <v>8000000</v>
      </c>
      <c r="U112" s="28">
        <f t="shared" si="111"/>
        <v>0</v>
      </c>
      <c r="V112" s="28">
        <f t="shared" si="120"/>
        <v>0</v>
      </c>
      <c r="W112" s="28">
        <f t="shared" si="123"/>
        <v>8000000</v>
      </c>
      <c r="X112" s="28">
        <v>11000000</v>
      </c>
      <c r="Y112" s="30"/>
      <c r="Z112" s="28"/>
      <c r="AA112" s="28">
        <f t="shared" si="121"/>
        <v>409500</v>
      </c>
      <c r="AB112" s="31">
        <f t="shared" si="78"/>
        <v>0</v>
      </c>
      <c r="AC112" s="32">
        <f t="shared" si="79"/>
        <v>0</v>
      </c>
      <c r="AD112" s="32">
        <f t="shared" si="122"/>
        <v>39000</v>
      </c>
      <c r="AE112" s="28">
        <f t="shared" si="113"/>
        <v>7551500</v>
      </c>
      <c r="AF112" s="28">
        <f t="shared" si="125"/>
        <v>7551500</v>
      </c>
      <c r="AG112" s="35">
        <f t="shared" si="124"/>
        <v>0</v>
      </c>
      <c r="AH112" s="28"/>
      <c r="AI112" s="33">
        <f t="shared" si="114"/>
        <v>0</v>
      </c>
      <c r="AJ112" s="161" t="s">
        <v>202</v>
      </c>
    </row>
    <row r="113" spans="1:36" s="19" customFormat="1" ht="28.5" customHeight="1" x14ac:dyDescent="0.25">
      <c r="A113" s="23">
        <v>99</v>
      </c>
      <c r="B113" s="172" t="s">
        <v>203</v>
      </c>
      <c r="C113" s="191" t="s">
        <v>551</v>
      </c>
      <c r="D113" s="42" t="s">
        <v>199</v>
      </c>
      <c r="E113" s="26" t="s">
        <v>44</v>
      </c>
      <c r="F113" s="27">
        <v>24</v>
      </c>
      <c r="G113" s="28">
        <v>5000000</v>
      </c>
      <c r="H113" s="28">
        <f t="shared" si="126"/>
        <v>5000000</v>
      </c>
      <c r="I113" s="28"/>
      <c r="J113" s="28"/>
      <c r="K113" s="28">
        <v>1000000</v>
      </c>
      <c r="L113" s="28">
        <v>0</v>
      </c>
      <c r="M113" s="28"/>
      <c r="N113" s="28"/>
      <c r="O113" s="28"/>
      <c r="P113" s="28">
        <f t="shared" si="127"/>
        <v>1000000</v>
      </c>
      <c r="Q113" s="28">
        <f>15000000-G113-P113</f>
        <v>9000000</v>
      </c>
      <c r="R113" s="27">
        <v>24</v>
      </c>
      <c r="S113" s="29"/>
      <c r="T113" s="30">
        <f>ROUND(((G113+P113+Q113)/F113*R113)+S113,0)</f>
        <v>15000000</v>
      </c>
      <c r="U113" s="28">
        <f t="shared" si="111"/>
        <v>0</v>
      </c>
      <c r="V113" s="28">
        <f t="shared" si="120"/>
        <v>0</v>
      </c>
      <c r="W113" s="28">
        <f t="shared" si="123"/>
        <v>15000000</v>
      </c>
      <c r="X113" s="28">
        <v>11000000</v>
      </c>
      <c r="Y113" s="30">
        <v>1</v>
      </c>
      <c r="Z113" s="28">
        <f>4400000*Y113</f>
        <v>4400000</v>
      </c>
      <c r="AA113" s="28">
        <f t="shared" si="121"/>
        <v>525000</v>
      </c>
      <c r="AB113" s="31">
        <f t="shared" si="78"/>
        <v>0</v>
      </c>
      <c r="AC113" s="32">
        <f t="shared" si="79"/>
        <v>0</v>
      </c>
      <c r="AD113" s="32">
        <f t="shared" si="122"/>
        <v>50000</v>
      </c>
      <c r="AE113" s="28">
        <f t="shared" si="113"/>
        <v>14425000</v>
      </c>
      <c r="AF113" s="28">
        <f t="shared" si="125"/>
        <v>14425000</v>
      </c>
      <c r="AG113" s="35">
        <f t="shared" si="124"/>
        <v>0</v>
      </c>
      <c r="AH113" s="28"/>
      <c r="AI113" s="33">
        <f t="shared" si="114"/>
        <v>0</v>
      </c>
      <c r="AJ113" s="161" t="s">
        <v>204</v>
      </c>
    </row>
    <row r="114" spans="1:36" s="19" customFormat="1" ht="28.5" customHeight="1" x14ac:dyDescent="0.25">
      <c r="A114" s="23">
        <v>100</v>
      </c>
      <c r="B114" s="172" t="s">
        <v>205</v>
      </c>
      <c r="C114" s="191" t="s">
        <v>552</v>
      </c>
      <c r="D114" s="42" t="s">
        <v>199</v>
      </c>
      <c r="E114" s="26" t="s">
        <v>44</v>
      </c>
      <c r="F114" s="27">
        <v>24</v>
      </c>
      <c r="G114" s="28">
        <v>5000000</v>
      </c>
      <c r="H114" s="28">
        <f t="shared" si="126"/>
        <v>5000000</v>
      </c>
      <c r="I114" s="28"/>
      <c r="J114" s="28"/>
      <c r="K114" s="28">
        <v>1000000</v>
      </c>
      <c r="L114" s="28">
        <v>0</v>
      </c>
      <c r="M114" s="28"/>
      <c r="N114" s="28"/>
      <c r="O114" s="28"/>
      <c r="P114" s="28">
        <f t="shared" si="127"/>
        <v>1000000</v>
      </c>
      <c r="Q114" s="28">
        <f>16000000-G114-P114</f>
        <v>10000000</v>
      </c>
      <c r="R114" s="27">
        <v>24</v>
      </c>
      <c r="S114" s="29"/>
      <c r="T114" s="30">
        <f>ROUND(((G114+P114+Q114)/F114*R114)+S114,0)</f>
        <v>16000000</v>
      </c>
      <c r="U114" s="28">
        <f t="shared" si="111"/>
        <v>0</v>
      </c>
      <c r="V114" s="28">
        <f t="shared" si="120"/>
        <v>0</v>
      </c>
      <c r="W114" s="28">
        <f t="shared" si="123"/>
        <v>16000000</v>
      </c>
      <c r="X114" s="28">
        <v>11000000</v>
      </c>
      <c r="Y114" s="30">
        <v>1</v>
      </c>
      <c r="Z114" s="28">
        <f>4400000*Y114</f>
        <v>4400000</v>
      </c>
      <c r="AA114" s="28">
        <f t="shared" si="121"/>
        <v>525000</v>
      </c>
      <c r="AB114" s="31">
        <f t="shared" si="78"/>
        <v>75000</v>
      </c>
      <c r="AC114" s="32">
        <f t="shared" si="79"/>
        <v>3750</v>
      </c>
      <c r="AD114" s="32">
        <f t="shared" si="122"/>
        <v>50000</v>
      </c>
      <c r="AE114" s="28">
        <f t="shared" si="113"/>
        <v>15421250</v>
      </c>
      <c r="AF114" s="28">
        <f t="shared" si="125"/>
        <v>15421250</v>
      </c>
      <c r="AG114" s="35">
        <f t="shared" si="124"/>
        <v>0</v>
      </c>
      <c r="AH114" s="28"/>
      <c r="AI114" s="33">
        <f t="shared" si="114"/>
        <v>1</v>
      </c>
      <c r="AJ114" s="161" t="s">
        <v>206</v>
      </c>
    </row>
    <row r="115" spans="1:36" s="19" customFormat="1" ht="28.5" customHeight="1" x14ac:dyDescent="0.25">
      <c r="A115" s="23">
        <v>101</v>
      </c>
      <c r="B115" s="172" t="s">
        <v>207</v>
      </c>
      <c r="C115" s="191" t="s">
        <v>553</v>
      </c>
      <c r="D115" s="42" t="s">
        <v>199</v>
      </c>
      <c r="E115" s="26" t="s">
        <v>44</v>
      </c>
      <c r="F115" s="27">
        <v>24</v>
      </c>
      <c r="G115" s="28">
        <v>3900000</v>
      </c>
      <c r="H115" s="28">
        <f t="shared" si="126"/>
        <v>3900000</v>
      </c>
      <c r="I115" s="28"/>
      <c r="J115" s="28"/>
      <c r="K115" s="28">
        <v>1000000</v>
      </c>
      <c r="L115" s="28">
        <v>0</v>
      </c>
      <c r="M115" s="28"/>
      <c r="N115" s="28"/>
      <c r="O115" s="28"/>
      <c r="P115" s="28">
        <f t="shared" si="127"/>
        <v>1000000</v>
      </c>
      <c r="Q115" s="28">
        <f>8000000-G115-P115</f>
        <v>3100000</v>
      </c>
      <c r="R115" s="27">
        <v>24</v>
      </c>
      <c r="S115" s="29"/>
      <c r="T115" s="30">
        <f t="shared" si="119"/>
        <v>8000000</v>
      </c>
      <c r="U115" s="28">
        <f t="shared" si="111"/>
        <v>0</v>
      </c>
      <c r="V115" s="28">
        <f t="shared" si="120"/>
        <v>0</v>
      </c>
      <c r="W115" s="28">
        <f t="shared" si="123"/>
        <v>8000000</v>
      </c>
      <c r="X115" s="28">
        <v>11000000</v>
      </c>
      <c r="Y115" s="30"/>
      <c r="Z115" s="28"/>
      <c r="AA115" s="28">
        <f t="shared" si="121"/>
        <v>409500</v>
      </c>
      <c r="AB115" s="31">
        <f t="shared" si="78"/>
        <v>0</v>
      </c>
      <c r="AC115" s="32">
        <f t="shared" si="79"/>
        <v>0</v>
      </c>
      <c r="AD115" s="32">
        <f t="shared" si="122"/>
        <v>39000</v>
      </c>
      <c r="AE115" s="28">
        <f t="shared" si="113"/>
        <v>7551500</v>
      </c>
      <c r="AF115" s="28">
        <f t="shared" si="125"/>
        <v>7551500</v>
      </c>
      <c r="AG115" s="35">
        <f t="shared" si="124"/>
        <v>0</v>
      </c>
      <c r="AH115" s="28"/>
      <c r="AI115" s="33">
        <f t="shared" si="114"/>
        <v>0</v>
      </c>
      <c r="AJ115" s="161" t="s">
        <v>208</v>
      </c>
    </row>
    <row r="116" spans="1:36" s="19" customFormat="1" ht="28.5" customHeight="1" x14ac:dyDescent="0.25">
      <c r="A116" s="23">
        <v>102</v>
      </c>
      <c r="B116" s="172" t="s">
        <v>209</v>
      </c>
      <c r="C116" s="191" t="s">
        <v>554</v>
      </c>
      <c r="D116" s="42" t="s">
        <v>199</v>
      </c>
      <c r="E116" s="26" t="s">
        <v>44</v>
      </c>
      <c r="F116" s="27">
        <v>24</v>
      </c>
      <c r="G116" s="28">
        <v>3900000</v>
      </c>
      <c r="H116" s="28">
        <f t="shared" si="126"/>
        <v>3900000</v>
      </c>
      <c r="I116" s="28"/>
      <c r="J116" s="28"/>
      <c r="K116" s="28">
        <v>1000000</v>
      </c>
      <c r="L116" s="28">
        <v>0</v>
      </c>
      <c r="M116" s="28"/>
      <c r="N116" s="28"/>
      <c r="O116" s="28"/>
      <c r="P116" s="28">
        <f t="shared" si="127"/>
        <v>1000000</v>
      </c>
      <c r="Q116" s="28">
        <f>8000000-G116-P116</f>
        <v>3100000</v>
      </c>
      <c r="R116" s="27">
        <v>24</v>
      </c>
      <c r="S116" s="29"/>
      <c r="T116" s="30">
        <f t="shared" si="119"/>
        <v>8000000</v>
      </c>
      <c r="U116" s="28">
        <f t="shared" si="111"/>
        <v>0</v>
      </c>
      <c r="V116" s="28">
        <f t="shared" si="120"/>
        <v>0</v>
      </c>
      <c r="W116" s="28">
        <f t="shared" si="123"/>
        <v>8000000</v>
      </c>
      <c r="X116" s="28">
        <v>11000000</v>
      </c>
      <c r="Y116" s="30"/>
      <c r="Z116" s="28"/>
      <c r="AA116" s="28">
        <f t="shared" si="121"/>
        <v>409500</v>
      </c>
      <c r="AB116" s="31">
        <f t="shared" si="78"/>
        <v>0</v>
      </c>
      <c r="AC116" s="32">
        <f t="shared" si="79"/>
        <v>0</v>
      </c>
      <c r="AD116" s="32">
        <f t="shared" si="122"/>
        <v>39000</v>
      </c>
      <c r="AE116" s="28">
        <f t="shared" si="113"/>
        <v>7551500</v>
      </c>
      <c r="AF116" s="28">
        <f t="shared" si="125"/>
        <v>7551500</v>
      </c>
      <c r="AG116" s="35">
        <f t="shared" si="124"/>
        <v>0</v>
      </c>
      <c r="AH116" s="28"/>
      <c r="AI116" s="33">
        <f t="shared" si="114"/>
        <v>0</v>
      </c>
      <c r="AJ116" s="161" t="s">
        <v>210</v>
      </c>
    </row>
    <row r="117" spans="1:36" s="19" customFormat="1" ht="28.5" customHeight="1" x14ac:dyDescent="0.25">
      <c r="A117" s="23">
        <v>103</v>
      </c>
      <c r="B117" s="172" t="s">
        <v>211</v>
      </c>
      <c r="C117" s="191" t="s">
        <v>555</v>
      </c>
      <c r="D117" s="42" t="s">
        <v>199</v>
      </c>
      <c r="E117" s="26" t="s">
        <v>57</v>
      </c>
      <c r="F117" s="27">
        <v>24</v>
      </c>
      <c r="G117" s="28">
        <v>3900000</v>
      </c>
      <c r="H117" s="28">
        <f t="shared" si="126"/>
        <v>3900000</v>
      </c>
      <c r="I117" s="28"/>
      <c r="J117" s="28"/>
      <c r="K117" s="28">
        <v>1000000</v>
      </c>
      <c r="L117" s="28">
        <v>0</v>
      </c>
      <c r="M117" s="28"/>
      <c r="N117" s="28"/>
      <c r="O117" s="28"/>
      <c r="P117" s="28">
        <f t="shared" si="127"/>
        <v>1000000</v>
      </c>
      <c r="Q117" s="28">
        <f>8000000-G117-P117</f>
        <v>3100000</v>
      </c>
      <c r="R117" s="27">
        <v>24</v>
      </c>
      <c r="S117" s="29"/>
      <c r="T117" s="30">
        <f t="shared" si="119"/>
        <v>8000000</v>
      </c>
      <c r="U117" s="28">
        <f t="shared" si="111"/>
        <v>0</v>
      </c>
      <c r="V117" s="28">
        <f t="shared" si="120"/>
        <v>0</v>
      </c>
      <c r="W117" s="28">
        <f t="shared" si="123"/>
        <v>8000000</v>
      </c>
      <c r="X117" s="28">
        <v>11000000</v>
      </c>
      <c r="Y117" s="30"/>
      <c r="Z117" s="28"/>
      <c r="AA117" s="28">
        <f t="shared" si="121"/>
        <v>409500</v>
      </c>
      <c r="AB117" s="31">
        <f t="shared" si="78"/>
        <v>0</v>
      </c>
      <c r="AC117" s="32">
        <f t="shared" si="79"/>
        <v>0</v>
      </c>
      <c r="AD117" s="32">
        <f t="shared" si="122"/>
        <v>39000</v>
      </c>
      <c r="AE117" s="28">
        <f t="shared" si="113"/>
        <v>7551500</v>
      </c>
      <c r="AF117" s="28">
        <f t="shared" si="125"/>
        <v>7551500</v>
      </c>
      <c r="AG117" s="35">
        <f t="shared" si="124"/>
        <v>0</v>
      </c>
      <c r="AH117" s="28"/>
      <c r="AI117" s="33">
        <f t="shared" si="114"/>
        <v>0</v>
      </c>
      <c r="AJ117" s="161" t="s">
        <v>212</v>
      </c>
    </row>
    <row r="118" spans="1:36" s="19" customFormat="1" ht="28.5" customHeight="1" x14ac:dyDescent="0.25">
      <c r="A118" s="23">
        <v>104</v>
      </c>
      <c r="B118" s="172" t="s">
        <v>213</v>
      </c>
      <c r="C118" s="191" t="s">
        <v>556</v>
      </c>
      <c r="D118" s="42" t="s">
        <v>199</v>
      </c>
      <c r="E118" s="26" t="s">
        <v>44</v>
      </c>
      <c r="F118" s="27">
        <v>24</v>
      </c>
      <c r="G118" s="28">
        <v>5000000</v>
      </c>
      <c r="H118" s="28">
        <f t="shared" si="126"/>
        <v>5000000</v>
      </c>
      <c r="I118" s="28"/>
      <c r="J118" s="28"/>
      <c r="K118" s="28">
        <v>1000000</v>
      </c>
      <c r="L118" s="28">
        <v>0</v>
      </c>
      <c r="M118" s="28"/>
      <c r="N118" s="28"/>
      <c r="O118" s="28"/>
      <c r="P118" s="28">
        <f t="shared" si="127"/>
        <v>1000000</v>
      </c>
      <c r="Q118" s="28">
        <f>17000000-G118-P118</f>
        <v>11000000</v>
      </c>
      <c r="R118" s="27">
        <v>24</v>
      </c>
      <c r="S118" s="29"/>
      <c r="T118" s="30">
        <f t="shared" si="119"/>
        <v>17000000</v>
      </c>
      <c r="U118" s="28">
        <f t="shared" si="111"/>
        <v>0</v>
      </c>
      <c r="V118" s="28">
        <f t="shared" si="120"/>
        <v>0</v>
      </c>
      <c r="W118" s="28">
        <f t="shared" si="123"/>
        <v>17000000</v>
      </c>
      <c r="X118" s="28">
        <v>11000000</v>
      </c>
      <c r="Y118" s="30">
        <v>2</v>
      </c>
      <c r="Z118" s="28">
        <f>4400000*Y118</f>
        <v>8800000</v>
      </c>
      <c r="AA118" s="28">
        <f t="shared" si="121"/>
        <v>525000</v>
      </c>
      <c r="AB118" s="31">
        <f t="shared" si="78"/>
        <v>0</v>
      </c>
      <c r="AC118" s="32">
        <f t="shared" si="79"/>
        <v>0</v>
      </c>
      <c r="AD118" s="32">
        <f t="shared" si="122"/>
        <v>50000</v>
      </c>
      <c r="AE118" s="28">
        <f t="shared" si="113"/>
        <v>16425000</v>
      </c>
      <c r="AF118" s="28">
        <f>+AE118</f>
        <v>16425000</v>
      </c>
      <c r="AG118" s="35">
        <f>+AE118-AF118</f>
        <v>0</v>
      </c>
      <c r="AH118" s="28"/>
      <c r="AI118" s="33">
        <f t="shared" si="114"/>
        <v>0</v>
      </c>
      <c r="AJ118" s="22" t="s">
        <v>214</v>
      </c>
    </row>
    <row r="119" spans="1:36" s="19" customFormat="1" ht="28.5" customHeight="1" x14ac:dyDescent="0.25">
      <c r="A119" s="23">
        <v>105</v>
      </c>
      <c r="B119" s="172" t="s">
        <v>215</v>
      </c>
      <c r="C119" s="191" t="s">
        <v>557</v>
      </c>
      <c r="D119" s="42" t="s">
        <v>199</v>
      </c>
      <c r="E119" s="26" t="s">
        <v>44</v>
      </c>
      <c r="F119" s="27">
        <v>24</v>
      </c>
      <c r="G119" s="28">
        <v>5000000</v>
      </c>
      <c r="H119" s="28">
        <f t="shared" si="126"/>
        <v>5000000</v>
      </c>
      <c r="I119" s="28"/>
      <c r="J119" s="28"/>
      <c r="K119" s="28">
        <v>1000000</v>
      </c>
      <c r="L119" s="28">
        <v>0</v>
      </c>
      <c r="M119" s="28"/>
      <c r="N119" s="28"/>
      <c r="O119" s="28"/>
      <c r="P119" s="28">
        <f t="shared" si="127"/>
        <v>1000000</v>
      </c>
      <c r="Q119" s="28">
        <f>11000000-G119-P119</f>
        <v>5000000</v>
      </c>
      <c r="R119" s="27">
        <v>24</v>
      </c>
      <c r="S119" s="29"/>
      <c r="T119" s="30">
        <f t="shared" si="119"/>
        <v>11000000</v>
      </c>
      <c r="U119" s="28">
        <f t="shared" si="111"/>
        <v>0</v>
      </c>
      <c r="V119" s="28">
        <f t="shared" si="120"/>
        <v>0</v>
      </c>
      <c r="W119" s="28">
        <f t="shared" si="123"/>
        <v>11000000</v>
      </c>
      <c r="X119" s="28">
        <v>11000000</v>
      </c>
      <c r="Y119" s="30">
        <v>4</v>
      </c>
      <c r="Z119" s="28">
        <f>4400000*Y119</f>
        <v>17600000</v>
      </c>
      <c r="AA119" s="28">
        <f t="shared" si="121"/>
        <v>525000</v>
      </c>
      <c r="AB119" s="31">
        <f t="shared" si="78"/>
        <v>0</v>
      </c>
      <c r="AC119" s="32">
        <f t="shared" si="79"/>
        <v>0</v>
      </c>
      <c r="AD119" s="32">
        <f t="shared" si="122"/>
        <v>50000</v>
      </c>
      <c r="AE119" s="28">
        <f t="shared" si="113"/>
        <v>10425000</v>
      </c>
      <c r="AF119" s="28">
        <f t="shared" si="125"/>
        <v>10425000</v>
      </c>
      <c r="AG119" s="35">
        <f t="shared" si="124"/>
        <v>0</v>
      </c>
      <c r="AH119" s="28"/>
      <c r="AI119" s="33">
        <f t="shared" si="114"/>
        <v>0</v>
      </c>
      <c r="AJ119" s="161" t="s">
        <v>216</v>
      </c>
    </row>
    <row r="120" spans="1:36" s="19" customFormat="1" ht="28.5" customHeight="1" x14ac:dyDescent="0.25">
      <c r="A120" s="23">
        <v>106</v>
      </c>
      <c r="B120" s="172" t="s">
        <v>217</v>
      </c>
      <c r="C120" s="191" t="s">
        <v>558</v>
      </c>
      <c r="D120" s="42" t="s">
        <v>199</v>
      </c>
      <c r="E120" s="26" t="s">
        <v>57</v>
      </c>
      <c r="F120" s="27">
        <v>24</v>
      </c>
      <c r="G120" s="28">
        <v>3900000</v>
      </c>
      <c r="H120" s="28">
        <f t="shared" si="126"/>
        <v>3900000</v>
      </c>
      <c r="I120" s="28"/>
      <c r="J120" s="28"/>
      <c r="K120" s="28">
        <v>1000000</v>
      </c>
      <c r="L120" s="28">
        <v>0</v>
      </c>
      <c r="M120" s="28"/>
      <c r="N120" s="28"/>
      <c r="O120" s="28"/>
      <c r="P120" s="28">
        <f t="shared" si="127"/>
        <v>1000000</v>
      </c>
      <c r="Q120" s="28">
        <f>10000000-G120-P120</f>
        <v>5100000</v>
      </c>
      <c r="R120" s="27">
        <v>24</v>
      </c>
      <c r="S120" s="29"/>
      <c r="T120" s="30">
        <f t="shared" si="119"/>
        <v>10000000</v>
      </c>
      <c r="U120" s="28">
        <f t="shared" si="111"/>
        <v>0</v>
      </c>
      <c r="V120" s="28">
        <f t="shared" si="120"/>
        <v>0</v>
      </c>
      <c r="W120" s="28">
        <f t="shared" si="123"/>
        <v>10000000</v>
      </c>
      <c r="X120" s="28">
        <v>11000000</v>
      </c>
      <c r="Y120" s="30">
        <v>2</v>
      </c>
      <c r="Z120" s="28">
        <f>4400000*Y120</f>
        <v>8800000</v>
      </c>
      <c r="AA120" s="28">
        <f t="shared" si="121"/>
        <v>409500</v>
      </c>
      <c r="AB120" s="31">
        <f t="shared" si="78"/>
        <v>0</v>
      </c>
      <c r="AC120" s="32">
        <f t="shared" si="79"/>
        <v>0</v>
      </c>
      <c r="AD120" s="32">
        <f t="shared" si="122"/>
        <v>39000</v>
      </c>
      <c r="AE120" s="28">
        <f t="shared" si="113"/>
        <v>9551500</v>
      </c>
      <c r="AF120" s="28">
        <f t="shared" si="125"/>
        <v>9551500</v>
      </c>
      <c r="AG120" s="35">
        <f t="shared" si="124"/>
        <v>0</v>
      </c>
      <c r="AH120" s="28"/>
      <c r="AI120" s="33">
        <f t="shared" si="114"/>
        <v>0</v>
      </c>
      <c r="AJ120" s="161" t="s">
        <v>218</v>
      </c>
    </row>
    <row r="121" spans="1:36" s="19" customFormat="1" ht="28.5" customHeight="1" x14ac:dyDescent="0.25">
      <c r="A121" s="23">
        <v>107</v>
      </c>
      <c r="B121" s="172" t="s">
        <v>221</v>
      </c>
      <c r="C121" s="191" t="s">
        <v>559</v>
      </c>
      <c r="D121" s="42" t="s">
        <v>199</v>
      </c>
      <c r="E121" s="26" t="s">
        <v>57</v>
      </c>
      <c r="F121" s="27">
        <v>24</v>
      </c>
      <c r="G121" s="28">
        <v>3900000</v>
      </c>
      <c r="H121" s="28">
        <f t="shared" si="126"/>
        <v>3900000</v>
      </c>
      <c r="I121" s="28"/>
      <c r="J121" s="28"/>
      <c r="K121" s="28">
        <v>1000000</v>
      </c>
      <c r="L121" s="28">
        <v>0</v>
      </c>
      <c r="M121" s="28"/>
      <c r="N121" s="28"/>
      <c r="O121" s="28"/>
      <c r="P121" s="28">
        <f t="shared" si="127"/>
        <v>1000000</v>
      </c>
      <c r="Q121" s="28">
        <f>5500000-G121-P121</f>
        <v>600000</v>
      </c>
      <c r="R121" s="27">
        <v>24</v>
      </c>
      <c r="S121" s="29"/>
      <c r="T121" s="30">
        <f t="shared" si="119"/>
        <v>5500000</v>
      </c>
      <c r="U121" s="28">
        <f t="shared" si="111"/>
        <v>0</v>
      </c>
      <c r="V121" s="28">
        <f t="shared" si="120"/>
        <v>0</v>
      </c>
      <c r="W121" s="28">
        <f t="shared" si="123"/>
        <v>5500000</v>
      </c>
      <c r="X121" s="28">
        <v>11000000</v>
      </c>
      <c r="Y121" s="30"/>
      <c r="Z121" s="28"/>
      <c r="AA121" s="28">
        <f t="shared" si="121"/>
        <v>409500</v>
      </c>
      <c r="AB121" s="31">
        <f t="shared" si="78"/>
        <v>0</v>
      </c>
      <c r="AC121" s="32">
        <f t="shared" si="79"/>
        <v>0</v>
      </c>
      <c r="AD121" s="32">
        <f t="shared" si="122"/>
        <v>39000</v>
      </c>
      <c r="AE121" s="28">
        <f t="shared" si="113"/>
        <v>5051500</v>
      </c>
      <c r="AF121" s="28">
        <f t="shared" si="125"/>
        <v>5051500</v>
      </c>
      <c r="AG121" s="35">
        <f t="shared" ref="AG121:AG125" si="128">+AE121-AF121</f>
        <v>0</v>
      </c>
      <c r="AH121" s="28"/>
      <c r="AI121" s="35">
        <f t="shared" si="114"/>
        <v>0</v>
      </c>
      <c r="AJ121" s="49" t="s">
        <v>222</v>
      </c>
    </row>
    <row r="122" spans="1:36" s="19" customFormat="1" ht="28.5" customHeight="1" x14ac:dyDescent="0.25">
      <c r="A122" s="23">
        <v>108</v>
      </c>
      <c r="B122" s="172" t="s">
        <v>223</v>
      </c>
      <c r="C122" s="191" t="s">
        <v>560</v>
      </c>
      <c r="D122" s="42" t="s">
        <v>199</v>
      </c>
      <c r="E122" s="26" t="s">
        <v>57</v>
      </c>
      <c r="F122" s="27">
        <v>24</v>
      </c>
      <c r="G122" s="28">
        <v>3900000</v>
      </c>
      <c r="H122" s="28">
        <f t="shared" si="126"/>
        <v>3900000</v>
      </c>
      <c r="I122" s="28"/>
      <c r="J122" s="28"/>
      <c r="K122" s="28">
        <v>1000000</v>
      </c>
      <c r="L122" s="28">
        <v>0</v>
      </c>
      <c r="M122" s="28"/>
      <c r="N122" s="28"/>
      <c r="O122" s="28"/>
      <c r="P122" s="28">
        <f t="shared" si="127"/>
        <v>1000000</v>
      </c>
      <c r="Q122" s="28">
        <f>5500000-G122-P122</f>
        <v>600000</v>
      </c>
      <c r="R122" s="27">
        <v>24</v>
      </c>
      <c r="S122" s="29"/>
      <c r="T122" s="30">
        <f t="shared" si="119"/>
        <v>5500000</v>
      </c>
      <c r="U122" s="28">
        <f t="shared" si="111"/>
        <v>0</v>
      </c>
      <c r="V122" s="28">
        <f t="shared" si="120"/>
        <v>0</v>
      </c>
      <c r="W122" s="28">
        <f t="shared" si="123"/>
        <v>5500000</v>
      </c>
      <c r="X122" s="28">
        <v>11000000</v>
      </c>
      <c r="Y122" s="30"/>
      <c r="Z122" s="28"/>
      <c r="AA122" s="28">
        <f t="shared" si="121"/>
        <v>409500</v>
      </c>
      <c r="AB122" s="31">
        <f t="shared" si="78"/>
        <v>0</v>
      </c>
      <c r="AC122" s="32">
        <f t="shared" si="79"/>
        <v>0</v>
      </c>
      <c r="AD122" s="32">
        <f t="shared" si="122"/>
        <v>39000</v>
      </c>
      <c r="AE122" s="28">
        <f t="shared" si="113"/>
        <v>5051500</v>
      </c>
      <c r="AF122" s="28">
        <f t="shared" si="125"/>
        <v>5051500</v>
      </c>
      <c r="AG122" s="35">
        <f t="shared" si="128"/>
        <v>0</v>
      </c>
      <c r="AH122" s="28"/>
      <c r="AI122" s="35">
        <f t="shared" si="114"/>
        <v>0</v>
      </c>
      <c r="AJ122" s="49" t="s">
        <v>224</v>
      </c>
    </row>
    <row r="123" spans="1:36" s="19" customFormat="1" ht="28.5" customHeight="1" x14ac:dyDescent="0.25">
      <c r="A123" s="23">
        <v>109</v>
      </c>
      <c r="B123" s="172" t="s">
        <v>225</v>
      </c>
      <c r="C123" s="191" t="s">
        <v>561</v>
      </c>
      <c r="D123" s="42" t="s">
        <v>199</v>
      </c>
      <c r="E123" s="26" t="s">
        <v>57</v>
      </c>
      <c r="F123" s="27">
        <v>24</v>
      </c>
      <c r="G123" s="28">
        <v>3900000</v>
      </c>
      <c r="H123" s="28">
        <f t="shared" si="126"/>
        <v>3900000</v>
      </c>
      <c r="I123" s="28"/>
      <c r="J123" s="28"/>
      <c r="K123" s="28">
        <v>1000000</v>
      </c>
      <c r="L123" s="28">
        <v>0</v>
      </c>
      <c r="M123" s="28"/>
      <c r="N123" s="28"/>
      <c r="O123" s="28"/>
      <c r="P123" s="28">
        <f t="shared" si="127"/>
        <v>1000000</v>
      </c>
      <c r="Q123" s="28">
        <f>5500000-G123-P123</f>
        <v>600000</v>
      </c>
      <c r="R123" s="27">
        <v>24</v>
      </c>
      <c r="S123" s="29"/>
      <c r="T123" s="30">
        <f t="shared" si="119"/>
        <v>5500000</v>
      </c>
      <c r="U123" s="28">
        <f t="shared" si="111"/>
        <v>0</v>
      </c>
      <c r="V123" s="28">
        <f t="shared" si="120"/>
        <v>0</v>
      </c>
      <c r="W123" s="28">
        <f>IF(T123-U123-V123&lt;0,0,T123-U123-V123)</f>
        <v>5500000</v>
      </c>
      <c r="X123" s="28">
        <v>11000000</v>
      </c>
      <c r="Y123" s="30"/>
      <c r="Z123" s="28"/>
      <c r="AA123" s="28">
        <f t="shared" si="121"/>
        <v>409500</v>
      </c>
      <c r="AB123" s="31">
        <f t="shared" si="78"/>
        <v>0</v>
      </c>
      <c r="AC123" s="32">
        <f t="shared" si="79"/>
        <v>0</v>
      </c>
      <c r="AD123" s="32">
        <f t="shared" si="122"/>
        <v>39000</v>
      </c>
      <c r="AE123" s="28">
        <f t="shared" si="113"/>
        <v>5051500</v>
      </c>
      <c r="AF123" s="28">
        <f>+AE123</f>
        <v>5051500</v>
      </c>
      <c r="AG123" s="35">
        <f t="shared" si="128"/>
        <v>0</v>
      </c>
      <c r="AH123" s="28"/>
      <c r="AI123" s="35">
        <f t="shared" si="114"/>
        <v>0</v>
      </c>
      <c r="AJ123" s="49" t="s">
        <v>226</v>
      </c>
    </row>
    <row r="124" spans="1:36" s="19" customFormat="1" ht="28.5" customHeight="1" x14ac:dyDescent="0.25">
      <c r="A124" s="23">
        <v>110</v>
      </c>
      <c r="B124" s="172" t="s">
        <v>227</v>
      </c>
      <c r="C124" s="191" t="s">
        <v>562</v>
      </c>
      <c r="D124" s="42" t="s">
        <v>199</v>
      </c>
      <c r="E124" s="26" t="s">
        <v>57</v>
      </c>
      <c r="F124" s="27">
        <v>24</v>
      </c>
      <c r="G124" s="28">
        <v>3900000</v>
      </c>
      <c r="H124" s="28">
        <f>+G124+O124</f>
        <v>3900000</v>
      </c>
      <c r="I124" s="28"/>
      <c r="J124" s="28"/>
      <c r="K124" s="28">
        <v>1000000</v>
      </c>
      <c r="L124" s="28">
        <v>0</v>
      </c>
      <c r="M124" s="28"/>
      <c r="N124" s="28"/>
      <c r="O124" s="28"/>
      <c r="P124" s="28">
        <f>SUM(I124:O124)</f>
        <v>1000000</v>
      </c>
      <c r="Q124" s="28">
        <f>5500000-G124-P124</f>
        <v>600000</v>
      </c>
      <c r="R124" s="27">
        <v>24</v>
      </c>
      <c r="S124" s="29"/>
      <c r="T124" s="30">
        <f>ROUND((G124+P124+Q124)/F124*R124,0)</f>
        <v>5500000</v>
      </c>
      <c r="U124" s="28">
        <f>+I124</f>
        <v>0</v>
      </c>
      <c r="V124" s="28">
        <f>+N124</f>
        <v>0</v>
      </c>
      <c r="W124" s="28">
        <f>IF(T124-U124-V124&lt;0,0,T124-U124-V124)</f>
        <v>5500000</v>
      </c>
      <c r="X124" s="28">
        <v>11000000</v>
      </c>
      <c r="Y124" s="30"/>
      <c r="Z124" s="28"/>
      <c r="AA124" s="28">
        <f>ROUND(H124*10.5%,0)</f>
        <v>409500</v>
      </c>
      <c r="AB124" s="31">
        <f>+IF(W124-X124-Z124-AA124&gt;0,W124-X124-Z124-AA124,0)</f>
        <v>0</v>
      </c>
      <c r="AC124" s="32">
        <f>ROUND(IF(AB124&gt;80000000,AB124*35%-9850000,IF(AB124&gt;52000000,AB124*30%-5850000,IF(AB124&gt;32000000,AB124*25%-3250000,IF(AB124&gt;18000000,AB124*20%-1650000,IF(AB124&gt;10000000,AB124*15%-750000,IF(AB124&gt;5000000,AB124*10%-250000,IF(AB124&gt;0,AB124*5%,0))))))),0)</f>
        <v>0</v>
      </c>
      <c r="AD124" s="32">
        <f>ROUND(H124*1%,0)</f>
        <v>39000</v>
      </c>
      <c r="AE124" s="28">
        <f t="shared" si="113"/>
        <v>5051500</v>
      </c>
      <c r="AF124" s="28">
        <f>+AE124</f>
        <v>5051500</v>
      </c>
      <c r="AG124" s="35">
        <f t="shared" si="128"/>
        <v>0</v>
      </c>
      <c r="AH124" s="28"/>
      <c r="AI124" s="35">
        <f t="shared" si="114"/>
        <v>0</v>
      </c>
      <c r="AJ124" s="49" t="s">
        <v>228</v>
      </c>
    </row>
    <row r="125" spans="1:36" s="19" customFormat="1" ht="28.5" customHeight="1" x14ac:dyDescent="0.25">
      <c r="A125" s="23">
        <v>111</v>
      </c>
      <c r="B125" s="172" t="s">
        <v>329</v>
      </c>
      <c r="C125" s="191" t="s">
        <v>563</v>
      </c>
      <c r="D125" s="42" t="s">
        <v>199</v>
      </c>
      <c r="E125" s="26" t="s">
        <v>57</v>
      </c>
      <c r="F125" s="27">
        <v>24</v>
      </c>
      <c r="G125" s="28">
        <v>3900000</v>
      </c>
      <c r="H125" s="28">
        <f>+G125+O125</f>
        <v>3900000</v>
      </c>
      <c r="I125" s="28"/>
      <c r="J125" s="28"/>
      <c r="K125" s="28">
        <v>1000000</v>
      </c>
      <c r="L125" s="28"/>
      <c r="M125" s="28"/>
      <c r="N125" s="28"/>
      <c r="O125" s="28"/>
      <c r="P125" s="28">
        <f>SUM(I125:O125)</f>
        <v>1000000</v>
      </c>
      <c r="Q125" s="28">
        <f>6000000-G125-P125</f>
        <v>1100000</v>
      </c>
      <c r="R125" s="27">
        <v>24</v>
      </c>
      <c r="S125" s="29"/>
      <c r="T125" s="30">
        <f>ROUND((G125+P125+Q125)/F125*R125,0)</f>
        <v>6000000</v>
      </c>
      <c r="U125" s="28"/>
      <c r="V125" s="28"/>
      <c r="W125" s="28">
        <f>IF(T125-U125-V125&lt;0,0,T125-U125-V125)</f>
        <v>6000000</v>
      </c>
      <c r="X125" s="28">
        <v>11000000</v>
      </c>
      <c r="Y125" s="30"/>
      <c r="Z125" s="28"/>
      <c r="AA125" s="28">
        <f t="shared" ref="AA125" si="129">ROUND(H125*10.5%,0)</f>
        <v>409500</v>
      </c>
      <c r="AB125" s="31">
        <f>+IF(W125-X125-Z125-AA125&gt;0,W125-X125-Z125-AA125,0)</f>
        <v>0</v>
      </c>
      <c r="AC125" s="32">
        <f t="shared" ref="AC125" si="130">ROUND(IF(AB125&gt;80000000,AB125*35%-9850000,IF(AB125&gt;52000000,AB125*30%-5850000,IF(AB125&gt;32000000,AB125*25%-3250000,IF(AB125&gt;18000000,AB125*20%-1650000,IF(AB125&gt;10000000,AB125*15%-750000,IF(AB125&gt;5000000,AB125*10%-250000,IF(AB125&gt;0,AB125*5%,0))))))),0)</f>
        <v>0</v>
      </c>
      <c r="AD125" s="32">
        <f t="shared" ref="AD125" si="131">ROUND(H125*1%,0)</f>
        <v>39000</v>
      </c>
      <c r="AE125" s="28">
        <f t="shared" si="113"/>
        <v>5551500</v>
      </c>
      <c r="AF125" s="28">
        <f>+AE125</f>
        <v>5551500</v>
      </c>
      <c r="AG125" s="35">
        <f t="shared" si="128"/>
        <v>0</v>
      </c>
      <c r="AH125" s="28"/>
      <c r="AI125" s="35">
        <f t="shared" si="114"/>
        <v>0</v>
      </c>
      <c r="AJ125" s="49" t="s">
        <v>330</v>
      </c>
    </row>
    <row r="126" spans="1:36" s="19" customFormat="1" ht="28.5" customHeight="1" x14ac:dyDescent="0.25">
      <c r="A126" s="23">
        <v>112</v>
      </c>
      <c r="B126" s="172" t="s">
        <v>233</v>
      </c>
      <c r="C126" s="191" t="s">
        <v>564</v>
      </c>
      <c r="D126" s="42" t="s">
        <v>199</v>
      </c>
      <c r="E126" s="26" t="s">
        <v>57</v>
      </c>
      <c r="F126" s="27">
        <v>24</v>
      </c>
      <c r="G126" s="28">
        <v>3900000</v>
      </c>
      <c r="H126" s="28">
        <f>+G126+O126</f>
        <v>3900000</v>
      </c>
      <c r="I126" s="28"/>
      <c r="J126" s="28"/>
      <c r="K126" s="28">
        <v>1000000</v>
      </c>
      <c r="L126" s="28">
        <v>0</v>
      </c>
      <c r="M126" s="28"/>
      <c r="N126" s="28"/>
      <c r="O126" s="28"/>
      <c r="P126" s="28">
        <f>SUM(I126:O126)</f>
        <v>1000000</v>
      </c>
      <c r="Q126" s="28">
        <f>6000000-G126-P126</f>
        <v>1100000</v>
      </c>
      <c r="R126" s="27">
        <v>24</v>
      </c>
      <c r="S126" s="29"/>
      <c r="T126" s="30">
        <f>ROUND((G126+P126+Q126)/F126*R126,0)</f>
        <v>6000000</v>
      </c>
      <c r="U126" s="28"/>
      <c r="V126" s="28">
        <f>+N126</f>
        <v>0</v>
      </c>
      <c r="W126" s="28">
        <f>IF(T126-U126-V126&lt;0,0,T126-U126-V126)</f>
        <v>6000000</v>
      </c>
      <c r="X126" s="28">
        <v>11000000</v>
      </c>
      <c r="Y126" s="30"/>
      <c r="Z126" s="28"/>
      <c r="AA126" s="28">
        <f t="shared" ref="AA126:AA127" si="132">ROUND(H126*10.5%,0)</f>
        <v>409500</v>
      </c>
      <c r="AB126" s="31">
        <f>+IF(W126-X126-Z126-AA126&gt;0,W126-X126-Z126-AA126,0)</f>
        <v>0</v>
      </c>
      <c r="AC126" s="32">
        <f t="shared" ref="AC126:AC127" si="133">ROUND(IF(AB126&gt;80000000,AB126*35%-9850000,IF(AB126&gt;52000000,AB126*30%-5850000,IF(AB126&gt;32000000,AB126*25%-3250000,IF(AB126&gt;18000000,AB126*20%-1650000,IF(AB126&gt;10000000,AB126*15%-750000,IF(AB126&gt;5000000,AB126*10%-250000,IF(AB126&gt;0,AB126*5%,0))))))),0)</f>
        <v>0</v>
      </c>
      <c r="AD126" s="32">
        <f t="shared" ref="AD126:AD127" si="134">ROUND(H126*1%,0)</f>
        <v>39000</v>
      </c>
      <c r="AE126" s="28">
        <f t="shared" ref="AE126:AE127" si="135">ROUND(T126-AA126-AC126-AD126,0)</f>
        <v>5551500</v>
      </c>
      <c r="AF126" s="28">
        <f>+AE126</f>
        <v>5551500</v>
      </c>
      <c r="AG126" s="35">
        <f t="shared" ref="AG126:AG127" si="136">+AE126-AF126</f>
        <v>0</v>
      </c>
      <c r="AH126" s="28"/>
      <c r="AI126" s="35">
        <f t="shared" ref="AI126:AI127" si="137">+IF(AC126&gt;0,1,0)</f>
        <v>0</v>
      </c>
      <c r="AJ126" s="49" t="s">
        <v>335</v>
      </c>
    </row>
    <row r="127" spans="1:36" s="19" customFormat="1" ht="28.5" customHeight="1" x14ac:dyDescent="0.25">
      <c r="A127" s="23">
        <v>113</v>
      </c>
      <c r="B127" s="172" t="s">
        <v>337</v>
      </c>
      <c r="C127" s="191" t="s">
        <v>565</v>
      </c>
      <c r="D127" s="42" t="s">
        <v>199</v>
      </c>
      <c r="E127" s="26"/>
      <c r="F127" s="27">
        <v>24</v>
      </c>
      <c r="G127" s="28">
        <v>3900000</v>
      </c>
      <c r="H127" s="28">
        <f>+G127+O127</f>
        <v>3900000</v>
      </c>
      <c r="I127" s="28"/>
      <c r="J127" s="28"/>
      <c r="K127" s="28">
        <v>1000000</v>
      </c>
      <c r="L127" s="28"/>
      <c r="M127" s="28"/>
      <c r="N127" s="28"/>
      <c r="O127" s="28"/>
      <c r="P127" s="28">
        <f>SUM(I127:O127)</f>
        <v>1000000</v>
      </c>
      <c r="Q127" s="28">
        <f>7000000-G127-P127</f>
        <v>2100000</v>
      </c>
      <c r="R127" s="27">
        <v>24</v>
      </c>
      <c r="S127" s="29"/>
      <c r="T127" s="30">
        <f>ROUND((G127+P127+Q127)/F127*R127,0)</f>
        <v>7000000</v>
      </c>
      <c r="U127" s="28"/>
      <c r="V127" s="28"/>
      <c r="W127" s="28">
        <f>IF(T127-U127-V127&lt;0,0,T127-U127-V127)</f>
        <v>7000000</v>
      </c>
      <c r="X127" s="28">
        <v>11000000</v>
      </c>
      <c r="Y127" s="30"/>
      <c r="Z127" s="28"/>
      <c r="AA127" s="28">
        <f t="shared" si="132"/>
        <v>409500</v>
      </c>
      <c r="AB127" s="31">
        <f>+IF(W127-X127-Z127-AA127&gt;0,W127-X127-Z127-AA127,0)</f>
        <v>0</v>
      </c>
      <c r="AC127" s="32">
        <f t="shared" si="133"/>
        <v>0</v>
      </c>
      <c r="AD127" s="32">
        <f t="shared" si="134"/>
        <v>39000</v>
      </c>
      <c r="AE127" s="28">
        <f t="shared" si="135"/>
        <v>6551500</v>
      </c>
      <c r="AF127" s="28">
        <f>+AE127</f>
        <v>6551500</v>
      </c>
      <c r="AG127" s="35">
        <f t="shared" si="136"/>
        <v>0</v>
      </c>
      <c r="AH127" s="28"/>
      <c r="AI127" s="35">
        <f t="shared" si="137"/>
        <v>0</v>
      </c>
      <c r="AJ127" s="49" t="s">
        <v>339</v>
      </c>
    </row>
    <row r="128" spans="1:36" s="19" customFormat="1" ht="21.75" customHeight="1" x14ac:dyDescent="0.25">
      <c r="A128" s="20" t="s">
        <v>458</v>
      </c>
      <c r="B128" s="38"/>
      <c r="C128" s="191"/>
      <c r="D128" s="38"/>
      <c r="E128" s="39"/>
      <c r="F128" s="40"/>
      <c r="G128" s="41">
        <f t="shared" ref="G128:AI128" si="138">+SUBTOTAL(9,G129:G152)</f>
        <v>93600000</v>
      </c>
      <c r="H128" s="41">
        <f t="shared" si="138"/>
        <v>0</v>
      </c>
      <c r="I128" s="41">
        <f t="shared" si="138"/>
        <v>0</v>
      </c>
      <c r="J128" s="41">
        <f t="shared" si="138"/>
        <v>0</v>
      </c>
      <c r="K128" s="41">
        <f t="shared" si="138"/>
        <v>4000000</v>
      </c>
      <c r="L128" s="41">
        <f t="shared" si="138"/>
        <v>0</v>
      </c>
      <c r="M128" s="41">
        <f t="shared" si="138"/>
        <v>0</v>
      </c>
      <c r="N128" s="41">
        <f t="shared" si="138"/>
        <v>0</v>
      </c>
      <c r="O128" s="41">
        <f t="shared" si="138"/>
        <v>0</v>
      </c>
      <c r="P128" s="41">
        <f t="shared" si="138"/>
        <v>4000000</v>
      </c>
      <c r="Q128" s="41">
        <f t="shared" si="138"/>
        <v>48425000</v>
      </c>
      <c r="R128" s="41">
        <f t="shared" si="138"/>
        <v>483</v>
      </c>
      <c r="S128" s="41">
        <f t="shared" si="138"/>
        <v>0</v>
      </c>
      <c r="T128" s="41">
        <f t="shared" si="138"/>
        <v>121039063</v>
      </c>
      <c r="U128" s="41">
        <f t="shared" si="138"/>
        <v>0</v>
      </c>
      <c r="V128" s="41">
        <f t="shared" si="138"/>
        <v>0</v>
      </c>
      <c r="W128" s="41">
        <f t="shared" si="138"/>
        <v>121039063</v>
      </c>
      <c r="X128" s="41">
        <f t="shared" si="138"/>
        <v>264000000</v>
      </c>
      <c r="Y128" s="41">
        <f t="shared" si="138"/>
        <v>0</v>
      </c>
      <c r="Z128" s="41">
        <f t="shared" si="138"/>
        <v>0</v>
      </c>
      <c r="AA128" s="41">
        <f t="shared" si="138"/>
        <v>0</v>
      </c>
      <c r="AB128" s="41">
        <f t="shared" si="138"/>
        <v>0</v>
      </c>
      <c r="AC128" s="41">
        <f t="shared" si="138"/>
        <v>0</v>
      </c>
      <c r="AD128" s="41">
        <f t="shared" si="138"/>
        <v>0</v>
      </c>
      <c r="AE128" s="41">
        <f t="shared" si="138"/>
        <v>121039063</v>
      </c>
      <c r="AF128" s="41">
        <f t="shared" si="138"/>
        <v>121039063</v>
      </c>
      <c r="AG128" s="41">
        <f t="shared" si="138"/>
        <v>0</v>
      </c>
      <c r="AH128" s="41">
        <f t="shared" si="138"/>
        <v>0</v>
      </c>
      <c r="AI128" s="41">
        <f t="shared" si="138"/>
        <v>0</v>
      </c>
      <c r="AJ128" s="22"/>
    </row>
    <row r="129" spans="1:36" s="19" customFormat="1" ht="28.5" customHeight="1" x14ac:dyDescent="0.25">
      <c r="A129" s="23">
        <v>114</v>
      </c>
      <c r="B129" s="172" t="s">
        <v>434</v>
      </c>
      <c r="C129" s="191" t="s">
        <v>566</v>
      </c>
      <c r="D129" s="42" t="s">
        <v>199</v>
      </c>
      <c r="E129" s="26"/>
      <c r="F129" s="27">
        <v>24</v>
      </c>
      <c r="G129" s="28">
        <v>3900000</v>
      </c>
      <c r="H129" s="28"/>
      <c r="I129" s="28"/>
      <c r="J129" s="28"/>
      <c r="K129" s="28">
        <v>0</v>
      </c>
      <c r="L129" s="28"/>
      <c r="M129" s="28"/>
      <c r="N129" s="28"/>
      <c r="O129" s="28"/>
      <c r="P129" s="28">
        <f t="shared" ref="P129:P133" si="139">SUM(I129:O129)</f>
        <v>0</v>
      </c>
      <c r="Q129" s="28">
        <f>5500000-G129-P129</f>
        <v>1600000</v>
      </c>
      <c r="R129" s="27">
        <v>24</v>
      </c>
      <c r="S129" s="29"/>
      <c r="T129" s="30">
        <f t="shared" ref="T129:T140" si="140">ROUND((G129+P129+Q129)/F129*R129,0)</f>
        <v>5500000</v>
      </c>
      <c r="U129" s="28"/>
      <c r="V129" s="28"/>
      <c r="W129" s="28">
        <f t="shared" ref="W129:W140" si="141">IF(T129-U129-V129&lt;0,0,T129-U129-V129)</f>
        <v>5500000</v>
      </c>
      <c r="X129" s="28">
        <v>11000000</v>
      </c>
      <c r="Y129" s="30"/>
      <c r="Z129" s="28"/>
      <c r="AA129" s="28"/>
      <c r="AB129" s="31">
        <f t="shared" si="78"/>
        <v>0</v>
      </c>
      <c r="AC129" s="32">
        <f t="shared" si="79"/>
        <v>0</v>
      </c>
      <c r="AD129" s="32"/>
      <c r="AE129" s="28">
        <f t="shared" ref="AE129:AE152" si="142">ROUND(T129-AA129-AC129-AD129,0)</f>
        <v>5500000</v>
      </c>
      <c r="AF129" s="28">
        <f t="shared" ref="AF129:AF140" si="143">+AE129</f>
        <v>5500000</v>
      </c>
      <c r="AG129" s="35">
        <f t="shared" ref="AG129:AG140" si="144">+AE129-AF129</f>
        <v>0</v>
      </c>
      <c r="AH129" s="28"/>
      <c r="AI129" s="35">
        <f t="shared" ref="AI129:AI152" si="145">+IF(AC129&gt;0,1,0)</f>
        <v>0</v>
      </c>
      <c r="AJ129" s="49" t="s">
        <v>443</v>
      </c>
    </row>
    <row r="130" spans="1:36" s="19" customFormat="1" ht="28.5" customHeight="1" x14ac:dyDescent="0.25">
      <c r="A130" s="23">
        <v>115</v>
      </c>
      <c r="B130" s="172" t="s">
        <v>442</v>
      </c>
      <c r="C130" s="191"/>
      <c r="D130" s="42" t="s">
        <v>51</v>
      </c>
      <c r="E130" s="26"/>
      <c r="F130" s="27">
        <v>24</v>
      </c>
      <c r="G130" s="28">
        <v>3900000</v>
      </c>
      <c r="H130" s="28"/>
      <c r="I130" s="28"/>
      <c r="J130" s="28"/>
      <c r="K130" s="28">
        <v>0</v>
      </c>
      <c r="L130" s="28"/>
      <c r="M130" s="28"/>
      <c r="N130" s="28"/>
      <c r="O130" s="28"/>
      <c r="P130" s="28">
        <f t="shared" si="139"/>
        <v>0</v>
      </c>
      <c r="Q130" s="28">
        <f>5100000-G130-P130</f>
        <v>1200000</v>
      </c>
      <c r="R130" s="27">
        <v>17</v>
      </c>
      <c r="S130" s="29"/>
      <c r="T130" s="30">
        <f t="shared" si="140"/>
        <v>3612500</v>
      </c>
      <c r="U130" s="28"/>
      <c r="V130" s="28"/>
      <c r="W130" s="28">
        <f t="shared" si="141"/>
        <v>3612500</v>
      </c>
      <c r="X130" s="28">
        <v>11000000</v>
      </c>
      <c r="Y130" s="30"/>
      <c r="Z130" s="28"/>
      <c r="AA130" s="28"/>
      <c r="AB130" s="31">
        <f t="shared" si="78"/>
        <v>0</v>
      </c>
      <c r="AC130" s="32">
        <f t="shared" si="79"/>
        <v>0</v>
      </c>
      <c r="AD130" s="32"/>
      <c r="AE130" s="28">
        <f t="shared" si="142"/>
        <v>3612500</v>
      </c>
      <c r="AF130" s="28">
        <f t="shared" si="143"/>
        <v>3612500</v>
      </c>
      <c r="AG130" s="35">
        <f t="shared" si="144"/>
        <v>0</v>
      </c>
      <c r="AH130" s="28"/>
      <c r="AI130" s="35">
        <f t="shared" si="145"/>
        <v>0</v>
      </c>
      <c r="AJ130" s="49" t="s">
        <v>444</v>
      </c>
    </row>
    <row r="131" spans="1:36" s="19" customFormat="1" ht="28.5" customHeight="1" x14ac:dyDescent="0.25">
      <c r="A131" s="23">
        <v>116</v>
      </c>
      <c r="B131" s="172" t="s">
        <v>396</v>
      </c>
      <c r="C131" s="191"/>
      <c r="D131" s="25" t="s">
        <v>397</v>
      </c>
      <c r="E131" s="26"/>
      <c r="F131" s="27">
        <v>24</v>
      </c>
      <c r="G131" s="28">
        <v>3900000</v>
      </c>
      <c r="H131" s="28"/>
      <c r="I131" s="28"/>
      <c r="J131" s="28"/>
      <c r="K131" s="28">
        <v>1000000</v>
      </c>
      <c r="L131" s="28"/>
      <c r="M131" s="28"/>
      <c r="N131" s="28"/>
      <c r="O131" s="28"/>
      <c r="P131" s="28">
        <f t="shared" si="139"/>
        <v>1000000</v>
      </c>
      <c r="Q131" s="28">
        <f>8500000-G131-P131</f>
        <v>3600000</v>
      </c>
      <c r="R131" s="27">
        <v>24</v>
      </c>
      <c r="S131" s="29"/>
      <c r="T131" s="30">
        <f t="shared" si="140"/>
        <v>8500000</v>
      </c>
      <c r="U131" s="28"/>
      <c r="V131" s="28"/>
      <c r="W131" s="28">
        <f t="shared" si="141"/>
        <v>8500000</v>
      </c>
      <c r="X131" s="28">
        <v>11000000</v>
      </c>
      <c r="Y131" s="30"/>
      <c r="Z131" s="28"/>
      <c r="AA131" s="28"/>
      <c r="AB131" s="31">
        <f t="shared" si="78"/>
        <v>0</v>
      </c>
      <c r="AC131" s="32">
        <f t="shared" si="79"/>
        <v>0</v>
      </c>
      <c r="AD131" s="32"/>
      <c r="AE131" s="28">
        <f t="shared" si="142"/>
        <v>8500000</v>
      </c>
      <c r="AF131" s="28">
        <f t="shared" si="143"/>
        <v>8500000</v>
      </c>
      <c r="AG131" s="35">
        <f t="shared" si="144"/>
        <v>0</v>
      </c>
      <c r="AH131" s="28"/>
      <c r="AI131" s="35">
        <f t="shared" si="145"/>
        <v>0</v>
      </c>
      <c r="AJ131" s="49" t="s">
        <v>420</v>
      </c>
    </row>
    <row r="132" spans="1:36" s="19" customFormat="1" ht="28.5" customHeight="1" x14ac:dyDescent="0.25">
      <c r="A132" s="23">
        <v>117</v>
      </c>
      <c r="B132" s="172" t="s">
        <v>393</v>
      </c>
      <c r="C132" s="191" t="s">
        <v>567</v>
      </c>
      <c r="D132" s="42" t="s">
        <v>261</v>
      </c>
      <c r="E132" s="26"/>
      <c r="F132" s="27">
        <v>24</v>
      </c>
      <c r="G132" s="28">
        <v>3900000</v>
      </c>
      <c r="H132" s="28"/>
      <c r="I132" s="28"/>
      <c r="J132" s="28"/>
      <c r="K132" s="28">
        <v>0</v>
      </c>
      <c r="L132" s="28"/>
      <c r="M132" s="28"/>
      <c r="N132" s="28"/>
      <c r="O132" s="28"/>
      <c r="P132" s="28">
        <f t="shared" si="139"/>
        <v>0</v>
      </c>
      <c r="Q132" s="28">
        <f>5000000-G132-P132</f>
        <v>1100000</v>
      </c>
      <c r="R132" s="27">
        <v>17.5</v>
      </c>
      <c r="S132" s="29"/>
      <c r="T132" s="30">
        <f t="shared" si="140"/>
        <v>3645833</v>
      </c>
      <c r="U132" s="28"/>
      <c r="V132" s="28"/>
      <c r="W132" s="28">
        <f t="shared" si="141"/>
        <v>3645833</v>
      </c>
      <c r="X132" s="28">
        <v>11000000</v>
      </c>
      <c r="Y132" s="30"/>
      <c r="Z132" s="28"/>
      <c r="AA132" s="28"/>
      <c r="AB132" s="31">
        <f t="shared" ref="AB132" si="146">+IF(W132-X132-Z132-AA132&gt;0,W132-X132-Z132-AA132,0)</f>
        <v>0</v>
      </c>
      <c r="AC132" s="32">
        <f t="shared" ref="AC132" si="147">ROUND(IF(AB132&gt;80000000,AB132*35%-9850000,IF(AB132&gt;52000000,AB132*30%-5850000,IF(AB132&gt;32000000,AB132*25%-3250000,IF(AB132&gt;18000000,AB132*20%-1650000,IF(AB132&gt;10000000,AB132*15%-750000,IF(AB132&gt;5000000,AB132*10%-250000,IF(AB132&gt;0,AB132*5%,0))))))),0)</f>
        <v>0</v>
      </c>
      <c r="AD132" s="32"/>
      <c r="AE132" s="28">
        <f t="shared" si="142"/>
        <v>3645833</v>
      </c>
      <c r="AF132" s="28">
        <f t="shared" ref="AF132" si="148">+AE132</f>
        <v>3645833</v>
      </c>
      <c r="AG132" s="35">
        <f t="shared" si="144"/>
        <v>0</v>
      </c>
      <c r="AH132" s="28"/>
      <c r="AI132" s="35">
        <f t="shared" si="145"/>
        <v>0</v>
      </c>
      <c r="AJ132" s="49" t="s">
        <v>421</v>
      </c>
    </row>
    <row r="133" spans="1:36" s="19" customFormat="1" ht="28.5" customHeight="1" x14ac:dyDescent="0.25">
      <c r="A133" s="23">
        <v>118</v>
      </c>
      <c r="B133" s="172" t="s">
        <v>381</v>
      </c>
      <c r="C133" s="191" t="s">
        <v>568</v>
      </c>
      <c r="D133" s="42" t="s">
        <v>70</v>
      </c>
      <c r="E133" s="26"/>
      <c r="F133" s="27">
        <v>24</v>
      </c>
      <c r="G133" s="28">
        <v>3900000</v>
      </c>
      <c r="H133" s="28"/>
      <c r="I133" s="28"/>
      <c r="J133" s="28"/>
      <c r="K133" s="28">
        <v>1000000</v>
      </c>
      <c r="L133" s="28"/>
      <c r="M133" s="28"/>
      <c r="N133" s="28"/>
      <c r="O133" s="28"/>
      <c r="P133" s="28">
        <f t="shared" si="139"/>
        <v>1000000</v>
      </c>
      <c r="Q133" s="28">
        <f>10000000-G133-P133</f>
        <v>5100000</v>
      </c>
      <c r="R133" s="27">
        <v>23.5</v>
      </c>
      <c r="S133" s="29"/>
      <c r="T133" s="30">
        <f t="shared" si="140"/>
        <v>9791667</v>
      </c>
      <c r="U133" s="28"/>
      <c r="V133" s="28"/>
      <c r="W133" s="28">
        <f t="shared" si="141"/>
        <v>9791667</v>
      </c>
      <c r="X133" s="28">
        <v>11000000</v>
      </c>
      <c r="Y133" s="30"/>
      <c r="Z133" s="28"/>
      <c r="AA133" s="28"/>
      <c r="AB133" s="31">
        <f t="shared" si="78"/>
        <v>0</v>
      </c>
      <c r="AC133" s="32">
        <f t="shared" si="79"/>
        <v>0</v>
      </c>
      <c r="AD133" s="32"/>
      <c r="AE133" s="28">
        <f t="shared" si="142"/>
        <v>9791667</v>
      </c>
      <c r="AF133" s="28">
        <f t="shared" si="143"/>
        <v>9791667</v>
      </c>
      <c r="AG133" s="35">
        <f t="shared" si="144"/>
        <v>0</v>
      </c>
      <c r="AH133" s="28"/>
      <c r="AI133" s="35">
        <f t="shared" si="145"/>
        <v>0</v>
      </c>
      <c r="AJ133" s="49" t="s">
        <v>428</v>
      </c>
    </row>
    <row r="134" spans="1:36" s="19" customFormat="1" ht="28.5" customHeight="1" x14ac:dyDescent="0.25">
      <c r="A134" s="23">
        <v>119</v>
      </c>
      <c r="B134" s="172" t="s">
        <v>435</v>
      </c>
      <c r="C134" s="191"/>
      <c r="D134" s="42" t="s">
        <v>70</v>
      </c>
      <c r="E134" s="26"/>
      <c r="F134" s="27">
        <v>24</v>
      </c>
      <c r="G134" s="28">
        <v>3900000</v>
      </c>
      <c r="H134" s="28"/>
      <c r="I134" s="28"/>
      <c r="J134" s="28"/>
      <c r="K134" s="28">
        <v>1000000</v>
      </c>
      <c r="L134" s="28"/>
      <c r="M134" s="28"/>
      <c r="N134" s="28"/>
      <c r="O134" s="28"/>
      <c r="P134" s="28">
        <f>SUM(I134:O134)</f>
        <v>1000000</v>
      </c>
      <c r="Q134" s="28">
        <f>9350000-G134-P134</f>
        <v>4450000</v>
      </c>
      <c r="R134" s="27">
        <v>9</v>
      </c>
      <c r="S134" s="29"/>
      <c r="T134" s="30">
        <f t="shared" ref="T134:T139" si="149">ROUND((G134+P134+Q134)/F134*R134,0)</f>
        <v>3506250</v>
      </c>
      <c r="U134" s="28"/>
      <c r="V134" s="28"/>
      <c r="W134" s="28">
        <f t="shared" ref="W134:W139" si="150">IF(T134-U134-V134&lt;0,0,T134-U134-V134)</f>
        <v>3506250</v>
      </c>
      <c r="X134" s="28">
        <v>11000000</v>
      </c>
      <c r="Y134" s="30"/>
      <c r="Z134" s="28"/>
      <c r="AA134" s="28"/>
      <c r="AB134" s="31">
        <f t="shared" ref="AB134:AB139" si="151">+IF(W134-X134-Z134-AA134&gt;0,W134-X134-Z134-AA134,0)</f>
        <v>0</v>
      </c>
      <c r="AC134" s="32">
        <f t="shared" si="79"/>
        <v>0</v>
      </c>
      <c r="AD134" s="32"/>
      <c r="AE134" s="28">
        <f>ROUND(T134-AA134-AC134-AD134,0)</f>
        <v>3506250</v>
      </c>
      <c r="AF134" s="28">
        <f>+AE134</f>
        <v>3506250</v>
      </c>
      <c r="AG134" s="35">
        <f>+AE134-AF134</f>
        <v>0</v>
      </c>
      <c r="AH134" s="28"/>
      <c r="AI134" s="35">
        <f>+IF(AC134&gt;0,1,0)</f>
        <v>0</v>
      </c>
      <c r="AJ134" s="49" t="s">
        <v>453</v>
      </c>
    </row>
    <row r="135" spans="1:36" s="19" customFormat="1" ht="28.5" customHeight="1" x14ac:dyDescent="0.25">
      <c r="A135" s="23">
        <v>120</v>
      </c>
      <c r="B135" s="172" t="s">
        <v>447</v>
      </c>
      <c r="C135" s="191"/>
      <c r="D135" s="42" t="s">
        <v>448</v>
      </c>
      <c r="E135" s="26"/>
      <c r="F135" s="27">
        <v>24</v>
      </c>
      <c r="G135" s="28">
        <v>3900000</v>
      </c>
      <c r="H135" s="28"/>
      <c r="I135" s="28"/>
      <c r="J135" s="28"/>
      <c r="K135" s="28">
        <v>1000000</v>
      </c>
      <c r="L135" s="28"/>
      <c r="M135" s="28"/>
      <c r="N135" s="28"/>
      <c r="O135" s="28"/>
      <c r="P135" s="28">
        <f>SUM(I135:O135)</f>
        <v>1000000</v>
      </c>
      <c r="Q135" s="28">
        <f>12350000-G135-P135</f>
        <v>7450000</v>
      </c>
      <c r="R135" s="27">
        <v>17</v>
      </c>
      <c r="S135" s="29"/>
      <c r="T135" s="30">
        <f t="shared" si="149"/>
        <v>8747917</v>
      </c>
      <c r="U135" s="28"/>
      <c r="V135" s="28"/>
      <c r="W135" s="28">
        <f t="shared" si="150"/>
        <v>8747917</v>
      </c>
      <c r="X135" s="28">
        <v>11000000</v>
      </c>
      <c r="Y135" s="30"/>
      <c r="Z135" s="28"/>
      <c r="AA135" s="28"/>
      <c r="AB135" s="31">
        <f t="shared" si="151"/>
        <v>0</v>
      </c>
      <c r="AC135" s="32">
        <f t="shared" si="79"/>
        <v>0</v>
      </c>
      <c r="AD135" s="32"/>
      <c r="AE135" s="28">
        <f t="shared" ref="AE135:AE136" si="152">ROUND(T135-AA135-AC135-AD135,0)</f>
        <v>8747917</v>
      </c>
      <c r="AF135" s="28">
        <f t="shared" ref="AF135:AF136" si="153">+AE135</f>
        <v>8747917</v>
      </c>
      <c r="AG135" s="35"/>
      <c r="AH135" s="28"/>
      <c r="AI135" s="35"/>
      <c r="AJ135" s="49" t="s">
        <v>452</v>
      </c>
    </row>
    <row r="136" spans="1:36" s="19" customFormat="1" ht="28.5" customHeight="1" x14ac:dyDescent="0.25">
      <c r="A136" s="23">
        <v>121</v>
      </c>
      <c r="B136" s="172" t="s">
        <v>375</v>
      </c>
      <c r="C136" s="191" t="s">
        <v>569</v>
      </c>
      <c r="D136" s="42" t="s">
        <v>343</v>
      </c>
      <c r="E136" s="26"/>
      <c r="F136" s="27">
        <v>24</v>
      </c>
      <c r="G136" s="28">
        <v>3900000</v>
      </c>
      <c r="H136" s="28"/>
      <c r="I136" s="28"/>
      <c r="J136" s="28"/>
      <c r="K136" s="28">
        <v>0</v>
      </c>
      <c r="L136" s="28"/>
      <c r="M136" s="28"/>
      <c r="N136" s="28"/>
      <c r="O136" s="28"/>
      <c r="P136" s="28">
        <f>SUM(I136:O136)</f>
        <v>0</v>
      </c>
      <c r="Q136" s="28">
        <f>4500000-G136-P136</f>
        <v>600000</v>
      </c>
      <c r="R136" s="27">
        <v>24</v>
      </c>
      <c r="S136" s="29"/>
      <c r="T136" s="30">
        <f t="shared" si="149"/>
        <v>4500000</v>
      </c>
      <c r="U136" s="28"/>
      <c r="V136" s="28"/>
      <c r="W136" s="28">
        <f t="shared" si="150"/>
        <v>4500000</v>
      </c>
      <c r="X136" s="28">
        <v>11000000</v>
      </c>
      <c r="Y136" s="30"/>
      <c r="Z136" s="28"/>
      <c r="AA136" s="28"/>
      <c r="AB136" s="31">
        <f t="shared" si="151"/>
        <v>0</v>
      </c>
      <c r="AC136" s="32">
        <f t="shared" si="79"/>
        <v>0</v>
      </c>
      <c r="AD136" s="32"/>
      <c r="AE136" s="28">
        <f t="shared" si="152"/>
        <v>4500000</v>
      </c>
      <c r="AF136" s="28">
        <f t="shared" si="153"/>
        <v>4500000</v>
      </c>
      <c r="AG136" s="35">
        <f>+AE136-AF136</f>
        <v>0</v>
      </c>
      <c r="AH136" s="28"/>
      <c r="AI136" s="35">
        <f t="shared" si="145"/>
        <v>0</v>
      </c>
      <c r="AJ136" s="49" t="s">
        <v>427</v>
      </c>
    </row>
    <row r="137" spans="1:36" s="19" customFormat="1" ht="28.5" customHeight="1" x14ac:dyDescent="0.25">
      <c r="A137" s="23">
        <v>122</v>
      </c>
      <c r="B137" s="172" t="s">
        <v>376</v>
      </c>
      <c r="C137" s="191" t="s">
        <v>570</v>
      </c>
      <c r="D137" s="42" t="s">
        <v>343</v>
      </c>
      <c r="E137" s="26"/>
      <c r="F137" s="27">
        <v>24</v>
      </c>
      <c r="G137" s="28">
        <v>3900000</v>
      </c>
      <c r="H137" s="28"/>
      <c r="I137" s="28"/>
      <c r="J137" s="28"/>
      <c r="K137" s="28">
        <v>0</v>
      </c>
      <c r="L137" s="28"/>
      <c r="M137" s="28"/>
      <c r="N137" s="28"/>
      <c r="O137" s="28"/>
      <c r="P137" s="28">
        <f>SUM(I137:O137)</f>
        <v>0</v>
      </c>
      <c r="Q137" s="28">
        <f>4500000-G137-P137</f>
        <v>600000</v>
      </c>
      <c r="R137" s="27">
        <v>22.5</v>
      </c>
      <c r="S137" s="29"/>
      <c r="T137" s="30">
        <f t="shared" si="149"/>
        <v>4218750</v>
      </c>
      <c r="U137" s="28"/>
      <c r="V137" s="28"/>
      <c r="W137" s="28">
        <f t="shared" si="150"/>
        <v>4218750</v>
      </c>
      <c r="X137" s="28">
        <v>11000000</v>
      </c>
      <c r="Y137" s="30"/>
      <c r="Z137" s="28"/>
      <c r="AA137" s="28"/>
      <c r="AB137" s="31">
        <f t="shared" si="151"/>
        <v>0</v>
      </c>
      <c r="AC137" s="32">
        <f t="shared" si="79"/>
        <v>0</v>
      </c>
      <c r="AD137" s="32"/>
      <c r="AE137" s="28">
        <f t="shared" si="142"/>
        <v>4218750</v>
      </c>
      <c r="AF137" s="28">
        <f>+AE137</f>
        <v>4218750</v>
      </c>
      <c r="AG137" s="35">
        <f>+AE137-AF137</f>
        <v>0</v>
      </c>
      <c r="AH137" s="28"/>
      <c r="AI137" s="35">
        <f t="shared" si="145"/>
        <v>0</v>
      </c>
      <c r="AJ137" s="49" t="s">
        <v>388</v>
      </c>
    </row>
    <row r="138" spans="1:36" s="19" customFormat="1" ht="28.5" customHeight="1" x14ac:dyDescent="0.25">
      <c r="A138" s="23">
        <v>123</v>
      </c>
      <c r="B138" s="172" t="s">
        <v>377</v>
      </c>
      <c r="C138" s="191" t="s">
        <v>571</v>
      </c>
      <c r="D138" s="42" t="s">
        <v>343</v>
      </c>
      <c r="E138" s="26"/>
      <c r="F138" s="27">
        <v>24</v>
      </c>
      <c r="G138" s="28">
        <v>3900000</v>
      </c>
      <c r="H138" s="28"/>
      <c r="I138" s="28"/>
      <c r="J138" s="28"/>
      <c r="K138" s="28">
        <v>0</v>
      </c>
      <c r="L138" s="28"/>
      <c r="M138" s="28"/>
      <c r="N138" s="28"/>
      <c r="O138" s="28"/>
      <c r="P138" s="28">
        <f>SUM(I138:O138)</f>
        <v>0</v>
      </c>
      <c r="Q138" s="28">
        <f>4500000-G138-P138</f>
        <v>600000</v>
      </c>
      <c r="R138" s="27">
        <v>24</v>
      </c>
      <c r="S138" s="29"/>
      <c r="T138" s="30">
        <f t="shared" si="149"/>
        <v>4500000</v>
      </c>
      <c r="U138" s="28"/>
      <c r="V138" s="28"/>
      <c r="W138" s="28">
        <f t="shared" si="150"/>
        <v>4500000</v>
      </c>
      <c r="X138" s="28">
        <v>11000000</v>
      </c>
      <c r="Y138" s="30"/>
      <c r="Z138" s="28"/>
      <c r="AA138" s="28"/>
      <c r="AB138" s="31">
        <f t="shared" si="151"/>
        <v>0</v>
      </c>
      <c r="AC138" s="32">
        <f t="shared" si="79"/>
        <v>0</v>
      </c>
      <c r="AD138" s="32"/>
      <c r="AE138" s="28">
        <f t="shared" si="142"/>
        <v>4500000</v>
      </c>
      <c r="AF138" s="28">
        <f>+AE138</f>
        <v>4500000</v>
      </c>
      <c r="AG138" s="35">
        <f>+AE138-AF138</f>
        <v>0</v>
      </c>
      <c r="AH138" s="28"/>
      <c r="AI138" s="35">
        <f t="shared" si="145"/>
        <v>0</v>
      </c>
      <c r="AJ138" s="49" t="s">
        <v>387</v>
      </c>
    </row>
    <row r="139" spans="1:36" s="19" customFormat="1" ht="28.5" customHeight="1" x14ac:dyDescent="0.25">
      <c r="A139" s="23">
        <v>124</v>
      </c>
      <c r="B139" s="172" t="s">
        <v>407</v>
      </c>
      <c r="C139" s="191" t="s">
        <v>572</v>
      </c>
      <c r="D139" s="42" t="s">
        <v>343</v>
      </c>
      <c r="E139" s="26"/>
      <c r="F139" s="27">
        <v>24</v>
      </c>
      <c r="G139" s="28">
        <v>3900000</v>
      </c>
      <c r="H139" s="28"/>
      <c r="I139" s="28"/>
      <c r="J139" s="28"/>
      <c r="K139" s="28">
        <v>0</v>
      </c>
      <c r="L139" s="28"/>
      <c r="M139" s="28"/>
      <c r="N139" s="28"/>
      <c r="O139" s="28"/>
      <c r="P139" s="28">
        <f t="shared" ref="P139" si="154">SUM(I139:O139)</f>
        <v>0</v>
      </c>
      <c r="Q139" s="28">
        <f>5500000-G139-P139</f>
        <v>1600000</v>
      </c>
      <c r="R139" s="27">
        <v>24</v>
      </c>
      <c r="S139" s="29"/>
      <c r="T139" s="30">
        <f t="shared" si="149"/>
        <v>5500000</v>
      </c>
      <c r="U139" s="28"/>
      <c r="V139" s="28"/>
      <c r="W139" s="28">
        <f t="shared" si="150"/>
        <v>5500000</v>
      </c>
      <c r="X139" s="28">
        <v>11000000</v>
      </c>
      <c r="Y139" s="30"/>
      <c r="Z139" s="28"/>
      <c r="AA139" s="28"/>
      <c r="AB139" s="31">
        <f t="shared" si="151"/>
        <v>0</v>
      </c>
      <c r="AC139" s="32">
        <f t="shared" si="79"/>
        <v>0</v>
      </c>
      <c r="AD139" s="32"/>
      <c r="AE139" s="28">
        <f t="shared" si="142"/>
        <v>5500000</v>
      </c>
      <c r="AF139" s="28">
        <f>+AE139</f>
        <v>5500000</v>
      </c>
      <c r="AG139" s="35">
        <f>+AE139-AF139</f>
        <v>0</v>
      </c>
      <c r="AH139" s="28"/>
      <c r="AI139" s="35">
        <f t="shared" si="145"/>
        <v>0</v>
      </c>
      <c r="AJ139" s="49" t="s">
        <v>418</v>
      </c>
    </row>
    <row r="140" spans="1:36" s="19" customFormat="1" ht="28.5" customHeight="1" x14ac:dyDescent="0.25">
      <c r="A140" s="23">
        <v>125</v>
      </c>
      <c r="B140" s="172" t="s">
        <v>357</v>
      </c>
      <c r="C140" s="191" t="s">
        <v>573</v>
      </c>
      <c r="D140" s="42" t="s">
        <v>128</v>
      </c>
      <c r="E140" s="26"/>
      <c r="F140" s="27">
        <v>24</v>
      </c>
      <c r="G140" s="28">
        <v>3900000</v>
      </c>
      <c r="H140" s="28"/>
      <c r="I140" s="28"/>
      <c r="J140" s="28"/>
      <c r="K140" s="28">
        <v>0</v>
      </c>
      <c r="L140" s="28"/>
      <c r="M140" s="28"/>
      <c r="N140" s="28"/>
      <c r="O140" s="28"/>
      <c r="P140" s="28">
        <f t="shared" ref="P140" si="155">SUM(I140:O140)</f>
        <v>0</v>
      </c>
      <c r="Q140" s="28">
        <f>5525000-G140-P140</f>
        <v>1625000</v>
      </c>
      <c r="R140" s="27">
        <v>23.5</v>
      </c>
      <c r="S140" s="29"/>
      <c r="T140" s="30">
        <f t="shared" si="140"/>
        <v>5409896</v>
      </c>
      <c r="U140" s="28"/>
      <c r="V140" s="28"/>
      <c r="W140" s="28">
        <f t="shared" si="141"/>
        <v>5409896</v>
      </c>
      <c r="X140" s="28">
        <v>11000000</v>
      </c>
      <c r="Y140" s="30"/>
      <c r="Z140" s="28"/>
      <c r="AA140" s="28"/>
      <c r="AB140" s="31">
        <f t="shared" si="78"/>
        <v>0</v>
      </c>
      <c r="AC140" s="32">
        <f t="shared" si="79"/>
        <v>0</v>
      </c>
      <c r="AD140" s="32"/>
      <c r="AE140" s="28">
        <f t="shared" si="142"/>
        <v>5409896</v>
      </c>
      <c r="AF140" s="28">
        <f t="shared" si="143"/>
        <v>5409896</v>
      </c>
      <c r="AG140" s="35">
        <f t="shared" si="144"/>
        <v>0</v>
      </c>
      <c r="AH140" s="28"/>
      <c r="AI140" s="35">
        <f t="shared" si="145"/>
        <v>0</v>
      </c>
      <c r="AJ140" s="43" t="s">
        <v>358</v>
      </c>
    </row>
    <row r="141" spans="1:36" s="19" customFormat="1" ht="28.5" customHeight="1" x14ac:dyDescent="0.25">
      <c r="A141" s="23">
        <v>126</v>
      </c>
      <c r="B141" s="172" t="s">
        <v>350</v>
      </c>
      <c r="C141" s="191" t="s">
        <v>574</v>
      </c>
      <c r="D141" s="42" t="s">
        <v>87</v>
      </c>
      <c r="E141" s="26"/>
      <c r="F141" s="27">
        <v>24</v>
      </c>
      <c r="G141" s="28">
        <v>3900000</v>
      </c>
      <c r="H141" s="28"/>
      <c r="I141" s="28"/>
      <c r="J141" s="28"/>
      <c r="K141" s="28">
        <v>0</v>
      </c>
      <c r="L141" s="28"/>
      <c r="M141" s="28"/>
      <c r="N141" s="28"/>
      <c r="O141" s="28"/>
      <c r="P141" s="28">
        <f>SUM(I141:O141)</f>
        <v>0</v>
      </c>
      <c r="Q141" s="28">
        <f>4500000-G141-P141</f>
        <v>600000</v>
      </c>
      <c r="R141" s="27">
        <v>19</v>
      </c>
      <c r="S141" s="29"/>
      <c r="T141" s="30">
        <f>ROUND((G141+P141+Q141)/F141*R141,0)</f>
        <v>3562500</v>
      </c>
      <c r="U141" s="28"/>
      <c r="V141" s="28"/>
      <c r="W141" s="28">
        <f>+T141-U141-V141</f>
        <v>3562500</v>
      </c>
      <c r="X141" s="28">
        <v>11000000</v>
      </c>
      <c r="Y141" s="30"/>
      <c r="Z141" s="28"/>
      <c r="AA141" s="28"/>
      <c r="AB141" s="31">
        <f>+IF(W141-X141-Z141-AA141&gt;0,W141-X141-Z141-AA141,0)</f>
        <v>0</v>
      </c>
      <c r="AC141" s="32">
        <f>ROUND(IF(AB141&gt;80000000,AB141*35%-9850000,IF(AB141&gt;52000000,AB141*30%-5850000,IF(AB141&gt;32000000,AB141*25%-3250000,IF(AB141&gt;18000000,AB141*20%-1650000,IF(AB141&gt;10000000,AB141*15%-750000,IF(AB141&gt;5000000,AB141*10%-250000,IF(AB141&gt;0,AB141*5%,0))))))),0)</f>
        <v>0</v>
      </c>
      <c r="AD141" s="32"/>
      <c r="AE141" s="30">
        <f>ROUND(T141-AA141-AC141-AD141,0)</f>
        <v>3562500</v>
      </c>
      <c r="AF141" s="30">
        <f>+AE141</f>
        <v>3562500</v>
      </c>
      <c r="AG141" s="33">
        <f>+AE141-AF141</f>
        <v>0</v>
      </c>
      <c r="AH141" s="28"/>
      <c r="AI141" s="35">
        <f>+IF(AC141&gt;0,1,0)</f>
        <v>0</v>
      </c>
      <c r="AJ141" s="43" t="s">
        <v>351</v>
      </c>
    </row>
    <row r="142" spans="1:36" s="19" customFormat="1" ht="28.5" customHeight="1" x14ac:dyDescent="0.25">
      <c r="A142" s="23">
        <v>127</v>
      </c>
      <c r="B142" s="172" t="s">
        <v>354</v>
      </c>
      <c r="C142" s="191" t="s">
        <v>575</v>
      </c>
      <c r="D142" s="42" t="s">
        <v>87</v>
      </c>
      <c r="E142" s="26"/>
      <c r="F142" s="27">
        <v>24</v>
      </c>
      <c r="G142" s="28">
        <v>3900000</v>
      </c>
      <c r="H142" s="28"/>
      <c r="I142" s="28"/>
      <c r="J142" s="28"/>
      <c r="K142" s="28">
        <v>0</v>
      </c>
      <c r="L142" s="28"/>
      <c r="M142" s="28"/>
      <c r="N142" s="28"/>
      <c r="O142" s="28"/>
      <c r="P142" s="28">
        <f t="shared" ref="P142:P152" si="156">SUM(I142:O142)</f>
        <v>0</v>
      </c>
      <c r="Q142" s="28">
        <f>5525000-G142-P142</f>
        <v>1625000</v>
      </c>
      <c r="R142" s="27">
        <v>24</v>
      </c>
      <c r="S142" s="29"/>
      <c r="T142" s="187">
        <f t="shared" ref="T142:T152" si="157">ROUND((G142+P142+Q142)/F142*R142,0)</f>
        <v>5525000</v>
      </c>
      <c r="U142" s="28"/>
      <c r="V142" s="28"/>
      <c r="W142" s="30">
        <f t="shared" ref="W142:W152" si="158">IF(T142-U142-V142&lt;0,0,T142-U142-V142)</f>
        <v>5525000</v>
      </c>
      <c r="X142" s="28">
        <v>11000000</v>
      </c>
      <c r="Y142" s="30"/>
      <c r="Z142" s="28"/>
      <c r="AA142" s="28"/>
      <c r="AB142" s="31">
        <f t="shared" ref="AB142:AB152" si="159">+IF(W142-X142-Z142-AA142&gt;0,W142-X142-Z142-AA142,0)</f>
        <v>0</v>
      </c>
      <c r="AC142" s="32">
        <f t="shared" ref="AC142:AC152" si="160">ROUND(IF(AB142&gt;80000000,AB142*35%-9850000,IF(AB142&gt;52000000,AB142*30%-5850000,IF(AB142&gt;32000000,AB142*25%-3250000,IF(AB142&gt;18000000,AB142*20%-1650000,IF(AB142&gt;10000000,AB142*15%-750000,IF(AB142&gt;5000000,AB142*10%-250000,IF(AB142&gt;0,AB142*5%,0))))))),0)</f>
        <v>0</v>
      </c>
      <c r="AD142" s="32"/>
      <c r="AE142" s="30">
        <f t="shared" si="142"/>
        <v>5525000</v>
      </c>
      <c r="AF142" s="30">
        <f t="shared" ref="AF142:AF152" si="161">+AE142</f>
        <v>5525000</v>
      </c>
      <c r="AG142" s="33">
        <f t="shared" ref="AG142:AG152" si="162">+AE142-AF142</f>
        <v>0</v>
      </c>
      <c r="AH142" s="28"/>
      <c r="AI142" s="35">
        <f t="shared" si="145"/>
        <v>0</v>
      </c>
      <c r="AJ142" s="43" t="s">
        <v>355</v>
      </c>
    </row>
    <row r="143" spans="1:36" s="19" customFormat="1" ht="28.5" customHeight="1" x14ac:dyDescent="0.25">
      <c r="A143" s="23">
        <v>128</v>
      </c>
      <c r="B143" s="172" t="s">
        <v>372</v>
      </c>
      <c r="C143" s="191" t="s">
        <v>576</v>
      </c>
      <c r="D143" s="42" t="s">
        <v>87</v>
      </c>
      <c r="E143" s="26"/>
      <c r="F143" s="27">
        <v>24</v>
      </c>
      <c r="G143" s="28">
        <v>3900000</v>
      </c>
      <c r="H143" s="28"/>
      <c r="I143" s="28"/>
      <c r="J143" s="28"/>
      <c r="K143" s="28">
        <v>0</v>
      </c>
      <c r="L143" s="28"/>
      <c r="M143" s="28"/>
      <c r="N143" s="28"/>
      <c r="O143" s="28"/>
      <c r="P143" s="28">
        <f t="shared" si="156"/>
        <v>0</v>
      </c>
      <c r="Q143" s="28">
        <f>5525000-G143-P143</f>
        <v>1625000</v>
      </c>
      <c r="R143" s="27">
        <v>24</v>
      </c>
      <c r="S143" s="29"/>
      <c r="T143" s="187">
        <f t="shared" si="157"/>
        <v>5525000</v>
      </c>
      <c r="U143" s="28"/>
      <c r="V143" s="28"/>
      <c r="W143" s="30">
        <f t="shared" si="158"/>
        <v>5525000</v>
      </c>
      <c r="X143" s="28">
        <v>11000000</v>
      </c>
      <c r="Y143" s="30"/>
      <c r="Z143" s="28"/>
      <c r="AA143" s="28"/>
      <c r="AB143" s="31">
        <f t="shared" si="159"/>
        <v>0</v>
      </c>
      <c r="AC143" s="32">
        <f t="shared" si="160"/>
        <v>0</v>
      </c>
      <c r="AD143" s="32"/>
      <c r="AE143" s="30">
        <f t="shared" si="142"/>
        <v>5525000</v>
      </c>
      <c r="AF143" s="30">
        <f t="shared" si="161"/>
        <v>5525000</v>
      </c>
      <c r="AG143" s="33">
        <f t="shared" si="162"/>
        <v>0</v>
      </c>
      <c r="AH143" s="28"/>
      <c r="AI143" s="35">
        <f t="shared" si="145"/>
        <v>0</v>
      </c>
      <c r="AJ143" s="43" t="s">
        <v>389</v>
      </c>
    </row>
    <row r="144" spans="1:36" s="19" customFormat="1" ht="28.5" customHeight="1" x14ac:dyDescent="0.25">
      <c r="A144" s="23">
        <v>129</v>
      </c>
      <c r="B144" s="172" t="s">
        <v>374</v>
      </c>
      <c r="C144" s="191" t="s">
        <v>577</v>
      </c>
      <c r="D144" s="42" t="s">
        <v>87</v>
      </c>
      <c r="E144" s="26"/>
      <c r="F144" s="27">
        <v>24</v>
      </c>
      <c r="G144" s="28">
        <v>3900000</v>
      </c>
      <c r="H144" s="28"/>
      <c r="I144" s="28"/>
      <c r="J144" s="28"/>
      <c r="K144" s="28">
        <v>0</v>
      </c>
      <c r="L144" s="28"/>
      <c r="M144" s="28"/>
      <c r="N144" s="28"/>
      <c r="O144" s="28"/>
      <c r="P144" s="28">
        <f t="shared" si="156"/>
        <v>0</v>
      </c>
      <c r="Q144" s="28">
        <f t="shared" ref="Q144:Q148" si="163">5100000-G144-P144</f>
        <v>1200000</v>
      </c>
      <c r="R144" s="27">
        <v>23.5</v>
      </c>
      <c r="S144" s="29"/>
      <c r="T144" s="30">
        <f t="shared" si="157"/>
        <v>4993750</v>
      </c>
      <c r="U144" s="28"/>
      <c r="V144" s="28"/>
      <c r="W144" s="30">
        <f t="shared" si="158"/>
        <v>4993750</v>
      </c>
      <c r="X144" s="28">
        <v>11000000</v>
      </c>
      <c r="Y144" s="30"/>
      <c r="Z144" s="28"/>
      <c r="AA144" s="28"/>
      <c r="AB144" s="31">
        <f t="shared" si="159"/>
        <v>0</v>
      </c>
      <c r="AC144" s="32">
        <f t="shared" si="160"/>
        <v>0</v>
      </c>
      <c r="AD144" s="32"/>
      <c r="AE144" s="30">
        <f t="shared" si="142"/>
        <v>4993750</v>
      </c>
      <c r="AF144" s="30">
        <f t="shared" si="161"/>
        <v>4993750</v>
      </c>
      <c r="AG144" s="33">
        <f t="shared" si="162"/>
        <v>0</v>
      </c>
      <c r="AH144" s="28"/>
      <c r="AI144" s="35">
        <f t="shared" si="145"/>
        <v>0</v>
      </c>
      <c r="AJ144" s="43" t="s">
        <v>391</v>
      </c>
    </row>
    <row r="145" spans="1:36" s="19" customFormat="1" ht="28.5" customHeight="1" x14ac:dyDescent="0.25">
      <c r="A145" s="23">
        <v>130</v>
      </c>
      <c r="B145" s="172" t="s">
        <v>373</v>
      </c>
      <c r="C145" s="191" t="s">
        <v>578</v>
      </c>
      <c r="D145" s="42" t="s">
        <v>87</v>
      </c>
      <c r="E145" s="26"/>
      <c r="F145" s="27">
        <v>24</v>
      </c>
      <c r="G145" s="28">
        <v>3900000</v>
      </c>
      <c r="H145" s="28"/>
      <c r="I145" s="28"/>
      <c r="J145" s="28"/>
      <c r="K145" s="28">
        <v>0</v>
      </c>
      <c r="L145" s="28"/>
      <c r="M145" s="28"/>
      <c r="N145" s="28"/>
      <c r="O145" s="28"/>
      <c r="P145" s="28">
        <f t="shared" si="156"/>
        <v>0</v>
      </c>
      <c r="Q145" s="28">
        <f t="shared" si="163"/>
        <v>1200000</v>
      </c>
      <c r="R145" s="27">
        <v>24</v>
      </c>
      <c r="S145" s="29"/>
      <c r="T145" s="30">
        <f t="shared" si="157"/>
        <v>5100000</v>
      </c>
      <c r="U145" s="28"/>
      <c r="V145" s="28"/>
      <c r="W145" s="30">
        <f t="shared" si="158"/>
        <v>5100000</v>
      </c>
      <c r="X145" s="28">
        <v>11000000</v>
      </c>
      <c r="Y145" s="30"/>
      <c r="Z145" s="28"/>
      <c r="AA145" s="28"/>
      <c r="AB145" s="31">
        <f t="shared" si="159"/>
        <v>0</v>
      </c>
      <c r="AC145" s="32">
        <f t="shared" si="160"/>
        <v>0</v>
      </c>
      <c r="AD145" s="32"/>
      <c r="AE145" s="30">
        <f t="shared" si="142"/>
        <v>5100000</v>
      </c>
      <c r="AF145" s="30">
        <f t="shared" si="161"/>
        <v>5100000</v>
      </c>
      <c r="AG145" s="33">
        <f t="shared" si="162"/>
        <v>0</v>
      </c>
      <c r="AH145" s="28"/>
      <c r="AI145" s="35">
        <f t="shared" si="145"/>
        <v>0</v>
      </c>
      <c r="AJ145" s="43" t="s">
        <v>390</v>
      </c>
    </row>
    <row r="146" spans="1:36" s="19" customFormat="1" ht="28.5" customHeight="1" x14ac:dyDescent="0.25">
      <c r="A146" s="23">
        <v>131</v>
      </c>
      <c r="B146" s="172" t="s">
        <v>436</v>
      </c>
      <c r="C146" s="191"/>
      <c r="D146" s="42" t="s">
        <v>87</v>
      </c>
      <c r="E146" s="26"/>
      <c r="F146" s="27">
        <v>24</v>
      </c>
      <c r="G146" s="28">
        <v>3900000</v>
      </c>
      <c r="H146" s="28"/>
      <c r="I146" s="28"/>
      <c r="J146" s="28"/>
      <c r="K146" s="28">
        <v>0</v>
      </c>
      <c r="L146" s="28"/>
      <c r="M146" s="28"/>
      <c r="N146" s="28"/>
      <c r="O146" s="28"/>
      <c r="P146" s="28">
        <f t="shared" si="156"/>
        <v>0</v>
      </c>
      <c r="Q146" s="28">
        <f t="shared" si="163"/>
        <v>1200000</v>
      </c>
      <c r="R146" s="27">
        <v>17</v>
      </c>
      <c r="S146" s="29"/>
      <c r="T146" s="30">
        <f t="shared" si="157"/>
        <v>3612500</v>
      </c>
      <c r="U146" s="28"/>
      <c r="V146" s="28"/>
      <c r="W146" s="30">
        <f t="shared" si="158"/>
        <v>3612500</v>
      </c>
      <c r="X146" s="28">
        <v>11000000</v>
      </c>
      <c r="Y146" s="30"/>
      <c r="Z146" s="28"/>
      <c r="AA146" s="28"/>
      <c r="AB146" s="31">
        <f t="shared" si="159"/>
        <v>0</v>
      </c>
      <c r="AC146" s="32">
        <f t="shared" si="160"/>
        <v>0</v>
      </c>
      <c r="AD146" s="32"/>
      <c r="AE146" s="30">
        <f t="shared" si="142"/>
        <v>3612500</v>
      </c>
      <c r="AF146" s="30">
        <f t="shared" si="161"/>
        <v>3612500</v>
      </c>
      <c r="AG146" s="33">
        <f t="shared" si="162"/>
        <v>0</v>
      </c>
      <c r="AH146" s="28"/>
      <c r="AI146" s="35">
        <f t="shared" si="145"/>
        <v>0</v>
      </c>
      <c r="AJ146" s="43" t="s">
        <v>446</v>
      </c>
    </row>
    <row r="147" spans="1:36" s="19" customFormat="1" ht="28.5" customHeight="1" x14ac:dyDescent="0.25">
      <c r="A147" s="23">
        <v>132</v>
      </c>
      <c r="B147" s="172" t="s">
        <v>437</v>
      </c>
      <c r="C147" s="191"/>
      <c r="D147" s="42" t="s">
        <v>87</v>
      </c>
      <c r="E147" s="26"/>
      <c r="F147" s="27">
        <v>24</v>
      </c>
      <c r="G147" s="28">
        <v>3900000</v>
      </c>
      <c r="H147" s="28"/>
      <c r="I147" s="28"/>
      <c r="J147" s="28"/>
      <c r="K147" s="28">
        <v>0</v>
      </c>
      <c r="L147" s="28"/>
      <c r="M147" s="28"/>
      <c r="N147" s="28"/>
      <c r="O147" s="28"/>
      <c r="P147" s="28">
        <f t="shared" si="156"/>
        <v>0</v>
      </c>
      <c r="Q147" s="28">
        <f t="shared" si="163"/>
        <v>1200000</v>
      </c>
      <c r="R147" s="27">
        <v>17</v>
      </c>
      <c r="S147" s="29"/>
      <c r="T147" s="30">
        <f t="shared" si="157"/>
        <v>3612500</v>
      </c>
      <c r="U147" s="28"/>
      <c r="V147" s="28"/>
      <c r="W147" s="30">
        <f t="shared" si="158"/>
        <v>3612500</v>
      </c>
      <c r="X147" s="28">
        <v>11000000</v>
      </c>
      <c r="Y147" s="30"/>
      <c r="Z147" s="28"/>
      <c r="AA147" s="28"/>
      <c r="AB147" s="31">
        <f t="shared" si="159"/>
        <v>0</v>
      </c>
      <c r="AC147" s="32">
        <f t="shared" si="160"/>
        <v>0</v>
      </c>
      <c r="AD147" s="32"/>
      <c r="AE147" s="30">
        <f t="shared" si="142"/>
        <v>3612500</v>
      </c>
      <c r="AF147" s="30">
        <f t="shared" si="161"/>
        <v>3612500</v>
      </c>
      <c r="AG147" s="33">
        <f t="shared" si="162"/>
        <v>0</v>
      </c>
      <c r="AH147" s="28"/>
      <c r="AI147" s="35">
        <f t="shared" si="145"/>
        <v>0</v>
      </c>
      <c r="AJ147" s="43" t="s">
        <v>450</v>
      </c>
    </row>
    <row r="148" spans="1:36" s="19" customFormat="1" ht="28.5" customHeight="1" x14ac:dyDescent="0.25">
      <c r="A148" s="23">
        <v>133</v>
      </c>
      <c r="B148" s="172" t="s">
        <v>438</v>
      </c>
      <c r="C148" s="191"/>
      <c r="D148" s="42" t="s">
        <v>87</v>
      </c>
      <c r="E148" s="26"/>
      <c r="F148" s="27">
        <v>24</v>
      </c>
      <c r="G148" s="28">
        <v>3900000</v>
      </c>
      <c r="H148" s="28"/>
      <c r="I148" s="28"/>
      <c r="J148" s="28"/>
      <c r="K148" s="28">
        <v>0</v>
      </c>
      <c r="L148" s="28"/>
      <c r="M148" s="28"/>
      <c r="N148" s="28"/>
      <c r="O148" s="28"/>
      <c r="P148" s="28">
        <f t="shared" si="156"/>
        <v>0</v>
      </c>
      <c r="Q148" s="28">
        <f t="shared" si="163"/>
        <v>1200000</v>
      </c>
      <c r="R148" s="27">
        <v>17</v>
      </c>
      <c r="S148" s="29"/>
      <c r="T148" s="30">
        <f t="shared" si="157"/>
        <v>3612500</v>
      </c>
      <c r="U148" s="28"/>
      <c r="V148" s="28"/>
      <c r="W148" s="30">
        <f t="shared" si="158"/>
        <v>3612500</v>
      </c>
      <c r="X148" s="28">
        <v>11000000</v>
      </c>
      <c r="Y148" s="30"/>
      <c r="Z148" s="28"/>
      <c r="AA148" s="28"/>
      <c r="AB148" s="31">
        <f t="shared" si="159"/>
        <v>0</v>
      </c>
      <c r="AC148" s="32">
        <f t="shared" si="160"/>
        <v>0</v>
      </c>
      <c r="AD148" s="32"/>
      <c r="AE148" s="30">
        <f t="shared" si="142"/>
        <v>3612500</v>
      </c>
      <c r="AF148" s="30">
        <f t="shared" si="161"/>
        <v>3612500</v>
      </c>
      <c r="AG148" s="33">
        <f t="shared" si="162"/>
        <v>0</v>
      </c>
      <c r="AH148" s="28"/>
      <c r="AI148" s="35">
        <f t="shared" si="145"/>
        <v>0</v>
      </c>
      <c r="AJ148" s="43" t="s">
        <v>445</v>
      </c>
    </row>
    <row r="149" spans="1:36" s="19" customFormat="1" ht="28.5" customHeight="1" x14ac:dyDescent="0.25">
      <c r="A149" s="23">
        <v>134</v>
      </c>
      <c r="B149" s="172" t="s">
        <v>439</v>
      </c>
      <c r="C149" s="191"/>
      <c r="D149" s="42" t="s">
        <v>87</v>
      </c>
      <c r="E149" s="26"/>
      <c r="F149" s="27">
        <v>24</v>
      </c>
      <c r="G149" s="28">
        <v>3900000</v>
      </c>
      <c r="H149" s="28"/>
      <c r="I149" s="28"/>
      <c r="J149" s="28"/>
      <c r="K149" s="28">
        <v>0</v>
      </c>
      <c r="L149" s="28"/>
      <c r="M149" s="28"/>
      <c r="N149" s="28"/>
      <c r="O149" s="28"/>
      <c r="P149" s="28">
        <f t="shared" si="156"/>
        <v>0</v>
      </c>
      <c r="Q149" s="28">
        <f>5950000-G149-P149</f>
        <v>2050000</v>
      </c>
      <c r="R149" s="27">
        <v>11</v>
      </c>
      <c r="S149" s="29"/>
      <c r="T149" s="30">
        <f t="shared" si="157"/>
        <v>2727083</v>
      </c>
      <c r="U149" s="28"/>
      <c r="V149" s="28"/>
      <c r="W149" s="30">
        <f t="shared" si="158"/>
        <v>2727083</v>
      </c>
      <c r="X149" s="28">
        <v>11000000</v>
      </c>
      <c r="Y149" s="30"/>
      <c r="Z149" s="28"/>
      <c r="AA149" s="28"/>
      <c r="AB149" s="31">
        <f t="shared" si="159"/>
        <v>0</v>
      </c>
      <c r="AC149" s="32">
        <f t="shared" si="160"/>
        <v>0</v>
      </c>
      <c r="AD149" s="32"/>
      <c r="AE149" s="30">
        <f t="shared" si="142"/>
        <v>2727083</v>
      </c>
      <c r="AF149" s="30">
        <f t="shared" si="161"/>
        <v>2727083</v>
      </c>
      <c r="AG149" s="33">
        <f t="shared" si="162"/>
        <v>0</v>
      </c>
      <c r="AH149" s="28"/>
      <c r="AI149" s="35">
        <f t="shared" si="145"/>
        <v>0</v>
      </c>
      <c r="AJ149" s="43" t="s">
        <v>449</v>
      </c>
    </row>
    <row r="150" spans="1:36" s="19" customFormat="1" ht="28.5" customHeight="1" x14ac:dyDescent="0.25">
      <c r="A150" s="23">
        <v>135</v>
      </c>
      <c r="B150" s="172" t="s">
        <v>440</v>
      </c>
      <c r="C150" s="191"/>
      <c r="D150" s="42" t="s">
        <v>87</v>
      </c>
      <c r="E150" s="26"/>
      <c r="F150" s="27">
        <v>24</v>
      </c>
      <c r="G150" s="28">
        <v>3900000</v>
      </c>
      <c r="H150" s="28"/>
      <c r="I150" s="28"/>
      <c r="J150" s="28"/>
      <c r="K150" s="28">
        <v>0</v>
      </c>
      <c r="L150" s="28"/>
      <c r="M150" s="28"/>
      <c r="N150" s="28"/>
      <c r="O150" s="28"/>
      <c r="P150" s="28">
        <f t="shared" si="156"/>
        <v>0</v>
      </c>
      <c r="Q150" s="28">
        <f>5100000-G150-P150</f>
        <v>1200000</v>
      </c>
      <c r="R150" s="27">
        <v>9</v>
      </c>
      <c r="S150" s="29"/>
      <c r="T150" s="30">
        <f t="shared" si="157"/>
        <v>1912500</v>
      </c>
      <c r="U150" s="28"/>
      <c r="V150" s="28"/>
      <c r="W150" s="30">
        <f t="shared" si="158"/>
        <v>1912500</v>
      </c>
      <c r="X150" s="28">
        <v>11000000</v>
      </c>
      <c r="Y150" s="30"/>
      <c r="Z150" s="28"/>
      <c r="AA150" s="28"/>
      <c r="AB150" s="31">
        <f t="shared" si="159"/>
        <v>0</v>
      </c>
      <c r="AC150" s="32">
        <f t="shared" si="160"/>
        <v>0</v>
      </c>
      <c r="AD150" s="32"/>
      <c r="AE150" s="30">
        <f t="shared" si="142"/>
        <v>1912500</v>
      </c>
      <c r="AF150" s="30">
        <f t="shared" si="161"/>
        <v>1912500</v>
      </c>
      <c r="AG150" s="33">
        <f t="shared" si="162"/>
        <v>0</v>
      </c>
      <c r="AH150" s="28"/>
      <c r="AI150" s="35">
        <f t="shared" si="145"/>
        <v>0</v>
      </c>
      <c r="AJ150" s="43" t="s">
        <v>451</v>
      </c>
    </row>
    <row r="151" spans="1:36" s="19" customFormat="1" ht="28.5" customHeight="1" x14ac:dyDescent="0.25">
      <c r="A151" s="23">
        <v>136</v>
      </c>
      <c r="B151" s="172" t="s">
        <v>356</v>
      </c>
      <c r="C151" s="191" t="s">
        <v>579</v>
      </c>
      <c r="D151" s="42" t="s">
        <v>190</v>
      </c>
      <c r="E151" s="26"/>
      <c r="F151" s="27">
        <v>24</v>
      </c>
      <c r="G151" s="28">
        <v>3900000</v>
      </c>
      <c r="H151" s="28"/>
      <c r="I151" s="28"/>
      <c r="J151" s="28"/>
      <c r="K151" s="28">
        <v>0</v>
      </c>
      <c r="L151" s="28"/>
      <c r="M151" s="28"/>
      <c r="N151" s="28"/>
      <c r="O151" s="28"/>
      <c r="P151" s="28">
        <f t="shared" si="156"/>
        <v>0</v>
      </c>
      <c r="Q151" s="28">
        <f>5100000-G151-P151</f>
        <v>1200000</v>
      </c>
      <c r="R151" s="27">
        <v>24</v>
      </c>
      <c r="S151" s="29"/>
      <c r="T151" s="30">
        <f t="shared" si="157"/>
        <v>5100000</v>
      </c>
      <c r="U151" s="28"/>
      <c r="V151" s="28"/>
      <c r="W151" s="30">
        <f t="shared" si="158"/>
        <v>5100000</v>
      </c>
      <c r="X151" s="28">
        <v>11000000</v>
      </c>
      <c r="Y151" s="30"/>
      <c r="Z151" s="28"/>
      <c r="AA151" s="28"/>
      <c r="AB151" s="31">
        <f t="shared" si="159"/>
        <v>0</v>
      </c>
      <c r="AC151" s="32">
        <f t="shared" si="160"/>
        <v>0</v>
      </c>
      <c r="AD151" s="32"/>
      <c r="AE151" s="30">
        <f t="shared" si="142"/>
        <v>5100000</v>
      </c>
      <c r="AF151" s="30">
        <f t="shared" si="161"/>
        <v>5100000</v>
      </c>
      <c r="AG151" s="33">
        <f t="shared" si="162"/>
        <v>0</v>
      </c>
      <c r="AH151" s="28"/>
      <c r="AI151" s="35">
        <f t="shared" si="145"/>
        <v>0</v>
      </c>
      <c r="AJ151" s="43" t="s">
        <v>368</v>
      </c>
    </row>
    <row r="152" spans="1:36" s="19" customFormat="1" ht="28.5" customHeight="1" x14ac:dyDescent="0.25">
      <c r="A152" s="23">
        <v>137</v>
      </c>
      <c r="B152" s="172" t="s">
        <v>362</v>
      </c>
      <c r="C152" s="191" t="s">
        <v>580</v>
      </c>
      <c r="D152" s="42" t="s">
        <v>245</v>
      </c>
      <c r="E152" s="26"/>
      <c r="F152" s="27">
        <v>24</v>
      </c>
      <c r="G152" s="28">
        <v>3900000</v>
      </c>
      <c r="H152" s="28"/>
      <c r="I152" s="28"/>
      <c r="J152" s="28"/>
      <c r="K152" s="28">
        <v>0</v>
      </c>
      <c r="L152" s="28"/>
      <c r="M152" s="28"/>
      <c r="N152" s="28"/>
      <c r="O152" s="28"/>
      <c r="P152" s="28">
        <f t="shared" si="156"/>
        <v>0</v>
      </c>
      <c r="Q152" s="28">
        <f>8500000-G152-P152</f>
        <v>4600000</v>
      </c>
      <c r="R152" s="27">
        <v>23.5</v>
      </c>
      <c r="S152" s="29"/>
      <c r="T152" s="30">
        <f t="shared" si="157"/>
        <v>8322917</v>
      </c>
      <c r="U152" s="28"/>
      <c r="V152" s="28"/>
      <c r="W152" s="30">
        <f t="shared" si="158"/>
        <v>8322917</v>
      </c>
      <c r="X152" s="28">
        <v>11000000</v>
      </c>
      <c r="Y152" s="30"/>
      <c r="Z152" s="28"/>
      <c r="AA152" s="28"/>
      <c r="AB152" s="31">
        <f t="shared" si="159"/>
        <v>0</v>
      </c>
      <c r="AC152" s="32">
        <f t="shared" si="160"/>
        <v>0</v>
      </c>
      <c r="AD152" s="32"/>
      <c r="AE152" s="30">
        <f t="shared" si="142"/>
        <v>8322917</v>
      </c>
      <c r="AF152" s="30">
        <f t="shared" si="161"/>
        <v>8322917</v>
      </c>
      <c r="AG152" s="33">
        <f t="shared" si="162"/>
        <v>0</v>
      </c>
      <c r="AH152" s="28"/>
      <c r="AI152" s="35">
        <f t="shared" si="145"/>
        <v>0</v>
      </c>
      <c r="AJ152" s="43" t="s">
        <v>363</v>
      </c>
    </row>
    <row r="153" spans="1:36" s="19" customFormat="1" ht="21.75" customHeight="1" x14ac:dyDescent="0.25">
      <c r="A153" s="20" t="s">
        <v>238</v>
      </c>
      <c r="B153" s="38"/>
      <c r="C153" s="191"/>
      <c r="D153" s="38"/>
      <c r="E153" s="39"/>
      <c r="F153" s="40"/>
      <c r="G153" s="41">
        <f>SUBTOTAL(9,G154:G165)</f>
        <v>136822222.22222221</v>
      </c>
      <c r="H153" s="41">
        <f t="shared" ref="H153:AI153" si="164">SUBTOTAL(9,H154:H165)</f>
        <v>0</v>
      </c>
      <c r="I153" s="41">
        <f t="shared" si="164"/>
        <v>0</v>
      </c>
      <c r="J153" s="41">
        <f t="shared" si="164"/>
        <v>0</v>
      </c>
      <c r="K153" s="41">
        <f t="shared" si="164"/>
        <v>0</v>
      </c>
      <c r="L153" s="41">
        <f t="shared" si="164"/>
        <v>0</v>
      </c>
      <c r="M153" s="41">
        <f t="shared" si="164"/>
        <v>0</v>
      </c>
      <c r="N153" s="41">
        <f t="shared" si="164"/>
        <v>0</v>
      </c>
      <c r="O153" s="41">
        <f t="shared" si="164"/>
        <v>0</v>
      </c>
      <c r="P153" s="41">
        <f t="shared" si="164"/>
        <v>0</v>
      </c>
      <c r="Q153" s="41">
        <f t="shared" si="164"/>
        <v>0</v>
      </c>
      <c r="R153" s="41">
        <f t="shared" si="164"/>
        <v>263</v>
      </c>
      <c r="S153" s="41">
        <f t="shared" si="164"/>
        <v>0</v>
      </c>
      <c r="T153" s="41">
        <f t="shared" si="164"/>
        <v>129655555</v>
      </c>
      <c r="U153" s="41">
        <f t="shared" si="164"/>
        <v>0</v>
      </c>
      <c r="V153" s="41">
        <f t="shared" si="164"/>
        <v>0</v>
      </c>
      <c r="W153" s="41">
        <f t="shared" si="164"/>
        <v>129655555</v>
      </c>
      <c r="X153" s="41">
        <f t="shared" si="164"/>
        <v>0</v>
      </c>
      <c r="Y153" s="41">
        <f t="shared" si="164"/>
        <v>0</v>
      </c>
      <c r="Z153" s="41">
        <f t="shared" si="164"/>
        <v>0</v>
      </c>
      <c r="AA153" s="41">
        <f t="shared" si="164"/>
        <v>0</v>
      </c>
      <c r="AB153" s="41">
        <f t="shared" si="164"/>
        <v>129655555</v>
      </c>
      <c r="AC153" s="41">
        <f t="shared" si="164"/>
        <v>11840555</v>
      </c>
      <c r="AD153" s="41">
        <f t="shared" si="164"/>
        <v>0</v>
      </c>
      <c r="AE153" s="41">
        <f t="shared" si="164"/>
        <v>117815000</v>
      </c>
      <c r="AF153" s="41">
        <f t="shared" si="164"/>
        <v>117815000</v>
      </c>
      <c r="AG153" s="41">
        <f t="shared" si="164"/>
        <v>0</v>
      </c>
      <c r="AH153" s="41">
        <f t="shared" si="164"/>
        <v>0</v>
      </c>
      <c r="AI153" s="41">
        <f t="shared" si="164"/>
        <v>8</v>
      </c>
      <c r="AJ153" s="22"/>
    </row>
    <row r="154" spans="1:36" s="19" customFormat="1" ht="28.5" customHeight="1" x14ac:dyDescent="0.25">
      <c r="A154" s="23">
        <v>138</v>
      </c>
      <c r="B154" s="172" t="s">
        <v>239</v>
      </c>
      <c r="C154" s="191"/>
      <c r="D154" s="42" t="s">
        <v>240</v>
      </c>
      <c r="E154" s="26"/>
      <c r="F154" s="27">
        <v>31</v>
      </c>
      <c r="G154" s="28">
        <v>10000000</v>
      </c>
      <c r="H154" s="28"/>
      <c r="I154" s="28"/>
      <c r="J154" s="28"/>
      <c r="K154" s="28"/>
      <c r="L154" s="28"/>
      <c r="M154" s="28"/>
      <c r="N154" s="28"/>
      <c r="O154" s="28"/>
      <c r="P154" s="51">
        <f>SUM(I154:O154)</f>
        <v>0</v>
      </c>
      <c r="Q154" s="28"/>
      <c r="R154" s="27">
        <v>31</v>
      </c>
      <c r="S154" s="29"/>
      <c r="T154" s="30">
        <f t="shared" ref="T154:T165" si="165">ROUND((G154+P154+Q154)/F154*R154,0)</f>
        <v>10000000</v>
      </c>
      <c r="U154" s="50">
        <f>+I154</f>
        <v>0</v>
      </c>
      <c r="V154" s="50">
        <f>+N154</f>
        <v>0</v>
      </c>
      <c r="W154" s="28">
        <f>+T154-U154-V154</f>
        <v>10000000</v>
      </c>
      <c r="X154" s="28"/>
      <c r="Y154" s="30"/>
      <c r="Z154" s="28"/>
      <c r="AA154" s="28"/>
      <c r="AB154" s="31">
        <f t="shared" si="78"/>
        <v>10000000</v>
      </c>
      <c r="AC154" s="32">
        <f>ROUND(T154*10%,0)</f>
        <v>1000000</v>
      </c>
      <c r="AD154" s="32"/>
      <c r="AE154" s="28">
        <f t="shared" ref="AE154:AE165" si="166">ROUND(T154-AA154-AC154-AD154,0)</f>
        <v>9000000</v>
      </c>
      <c r="AF154" s="28">
        <f t="shared" ref="AF154:AF165" si="167">+AE154</f>
        <v>9000000</v>
      </c>
      <c r="AG154" s="35">
        <f>+AE154-AF154</f>
        <v>0</v>
      </c>
      <c r="AH154" s="28"/>
      <c r="AI154" s="35">
        <f t="shared" ref="AI154:AI165" si="168">+IF(AC154&gt;0,1,0)</f>
        <v>1</v>
      </c>
      <c r="AJ154" s="22" t="s">
        <v>241</v>
      </c>
    </row>
    <row r="155" spans="1:36" s="19" customFormat="1" ht="28.5" customHeight="1" x14ac:dyDescent="0.25">
      <c r="A155" s="23">
        <v>139</v>
      </c>
      <c r="B155" s="172" t="s">
        <v>242</v>
      </c>
      <c r="C155" s="191"/>
      <c r="D155" s="42" t="s">
        <v>342</v>
      </c>
      <c r="E155" s="26"/>
      <c r="F155" s="27">
        <v>24</v>
      </c>
      <c r="G155" s="28">
        <f>20000000/0.9</f>
        <v>22222222.22222222</v>
      </c>
      <c r="H155" s="28"/>
      <c r="I155" s="28"/>
      <c r="J155" s="28"/>
      <c r="K155" s="28"/>
      <c r="L155" s="28"/>
      <c r="M155" s="28"/>
      <c r="N155" s="28"/>
      <c r="O155" s="28"/>
      <c r="P155" s="51">
        <f t="shared" ref="P155:P165" si="169">SUM(I155:O155)</f>
        <v>0</v>
      </c>
      <c r="Q155" s="28"/>
      <c r="R155" s="27">
        <v>24</v>
      </c>
      <c r="S155" s="29"/>
      <c r="T155" s="30">
        <f t="shared" si="165"/>
        <v>22222222</v>
      </c>
      <c r="U155" s="50"/>
      <c r="V155" s="50">
        <f>+N155</f>
        <v>0</v>
      </c>
      <c r="W155" s="28">
        <f>+T155-U155-V155</f>
        <v>22222222</v>
      </c>
      <c r="X155" s="28"/>
      <c r="Y155" s="30"/>
      <c r="Z155" s="28"/>
      <c r="AA155" s="28"/>
      <c r="AB155" s="31">
        <f t="shared" si="78"/>
        <v>22222222</v>
      </c>
      <c r="AC155" s="32">
        <f t="shared" ref="AC155:AC161" si="170">ROUND(T155*10%,0)</f>
        <v>2222222</v>
      </c>
      <c r="AD155" s="32"/>
      <c r="AE155" s="28">
        <f t="shared" si="166"/>
        <v>20000000</v>
      </c>
      <c r="AF155" s="28">
        <f t="shared" si="167"/>
        <v>20000000</v>
      </c>
      <c r="AG155" s="35">
        <f t="shared" ref="AG155:AG165" si="171">+AE155-AF155</f>
        <v>0</v>
      </c>
      <c r="AH155" s="28"/>
      <c r="AI155" s="35">
        <f t="shared" si="168"/>
        <v>1</v>
      </c>
      <c r="AJ155" s="161" t="s">
        <v>243</v>
      </c>
    </row>
    <row r="156" spans="1:36" s="19" customFormat="1" ht="28.5" customHeight="1" x14ac:dyDescent="0.25">
      <c r="A156" s="23">
        <v>140</v>
      </c>
      <c r="B156" s="172" t="s">
        <v>325</v>
      </c>
      <c r="C156" s="191" t="s">
        <v>581</v>
      </c>
      <c r="D156" s="42" t="s">
        <v>128</v>
      </c>
      <c r="E156" s="26"/>
      <c r="F156" s="27">
        <v>24</v>
      </c>
      <c r="G156" s="28">
        <v>20000000</v>
      </c>
      <c r="H156" s="28"/>
      <c r="I156" s="28"/>
      <c r="J156" s="28"/>
      <c r="K156" s="28"/>
      <c r="L156" s="28"/>
      <c r="M156" s="28"/>
      <c r="N156" s="28"/>
      <c r="O156" s="28"/>
      <c r="P156" s="51">
        <f t="shared" si="169"/>
        <v>0</v>
      </c>
      <c r="Q156" s="28"/>
      <c r="R156" s="27">
        <v>24</v>
      </c>
      <c r="S156" s="29"/>
      <c r="T156" s="30">
        <f t="shared" si="165"/>
        <v>20000000</v>
      </c>
      <c r="U156" s="28"/>
      <c r="V156" s="50"/>
      <c r="W156" s="28">
        <f t="shared" ref="W156:W161" si="172">IF(T156-U156-V156&lt;0,0,T156-U156-V156)</f>
        <v>20000000</v>
      </c>
      <c r="X156" s="28"/>
      <c r="Y156" s="30"/>
      <c r="Z156" s="28"/>
      <c r="AA156" s="28"/>
      <c r="AB156" s="31">
        <f t="shared" si="78"/>
        <v>20000000</v>
      </c>
      <c r="AC156" s="32">
        <f t="shared" si="170"/>
        <v>2000000</v>
      </c>
      <c r="AD156" s="32"/>
      <c r="AE156" s="28">
        <f t="shared" si="166"/>
        <v>18000000</v>
      </c>
      <c r="AF156" s="28">
        <f t="shared" ref="AF156:AF161" si="173">+AE156</f>
        <v>18000000</v>
      </c>
      <c r="AG156" s="35">
        <f t="shared" si="171"/>
        <v>0</v>
      </c>
      <c r="AH156" s="28"/>
      <c r="AI156" s="35">
        <f t="shared" si="168"/>
        <v>1</v>
      </c>
      <c r="AJ156" s="49" t="s">
        <v>326</v>
      </c>
    </row>
    <row r="157" spans="1:36" s="19" customFormat="1" ht="28.5" customHeight="1" x14ac:dyDescent="0.25">
      <c r="A157" s="23">
        <v>141</v>
      </c>
      <c r="B157" s="172" t="s">
        <v>400</v>
      </c>
      <c r="C157" s="191" t="s">
        <v>582</v>
      </c>
      <c r="D157" s="42" t="s">
        <v>128</v>
      </c>
      <c r="E157" s="26"/>
      <c r="F157" s="27">
        <v>24</v>
      </c>
      <c r="G157" s="28">
        <v>20000000</v>
      </c>
      <c r="H157" s="28"/>
      <c r="I157" s="28"/>
      <c r="J157" s="28"/>
      <c r="K157" s="28"/>
      <c r="L157" s="28"/>
      <c r="M157" s="28"/>
      <c r="N157" s="28"/>
      <c r="O157" s="28"/>
      <c r="P157" s="51"/>
      <c r="Q157" s="28"/>
      <c r="R157" s="27">
        <v>23.5</v>
      </c>
      <c r="S157" s="29"/>
      <c r="T157" s="30">
        <f t="shared" si="165"/>
        <v>19583333</v>
      </c>
      <c r="U157" s="28"/>
      <c r="V157" s="50"/>
      <c r="W157" s="28">
        <f t="shared" si="172"/>
        <v>19583333</v>
      </c>
      <c r="X157" s="28"/>
      <c r="Y157" s="30"/>
      <c r="Z157" s="28"/>
      <c r="AA157" s="28"/>
      <c r="AB157" s="31">
        <f t="shared" si="78"/>
        <v>19583333</v>
      </c>
      <c r="AC157" s="32">
        <f t="shared" si="170"/>
        <v>1958333</v>
      </c>
      <c r="AD157" s="32"/>
      <c r="AE157" s="28">
        <f t="shared" si="166"/>
        <v>17625000</v>
      </c>
      <c r="AF157" s="28">
        <f t="shared" si="173"/>
        <v>17625000</v>
      </c>
      <c r="AG157" s="35">
        <f t="shared" si="171"/>
        <v>0</v>
      </c>
      <c r="AH157" s="28"/>
      <c r="AI157" s="35">
        <f t="shared" si="168"/>
        <v>1</v>
      </c>
      <c r="AJ157" s="163" t="s">
        <v>419</v>
      </c>
    </row>
    <row r="158" spans="1:36" s="19" customFormat="1" ht="28.5" customHeight="1" x14ac:dyDescent="0.25">
      <c r="A158" s="23">
        <v>142</v>
      </c>
      <c r="B158" s="172" t="s">
        <v>361</v>
      </c>
      <c r="C158" s="191" t="s">
        <v>583</v>
      </c>
      <c r="D158" s="42" t="s">
        <v>343</v>
      </c>
      <c r="E158" s="26"/>
      <c r="F158" s="27">
        <v>24</v>
      </c>
      <c r="G158" s="28">
        <v>13600000</v>
      </c>
      <c r="H158" s="28"/>
      <c r="I158" s="28"/>
      <c r="J158" s="28"/>
      <c r="K158" s="28"/>
      <c r="L158" s="28"/>
      <c r="M158" s="28"/>
      <c r="N158" s="28"/>
      <c r="O158" s="28"/>
      <c r="P158" s="51">
        <f t="shared" si="169"/>
        <v>0</v>
      </c>
      <c r="Q158" s="28"/>
      <c r="R158" s="27">
        <v>24</v>
      </c>
      <c r="S158" s="29"/>
      <c r="T158" s="30">
        <f t="shared" si="165"/>
        <v>13600000</v>
      </c>
      <c r="U158" s="28"/>
      <c r="V158" s="50"/>
      <c r="W158" s="28">
        <f t="shared" si="172"/>
        <v>13600000</v>
      </c>
      <c r="X158" s="28"/>
      <c r="Y158" s="30"/>
      <c r="Z158" s="28"/>
      <c r="AA158" s="28"/>
      <c r="AB158" s="31">
        <f t="shared" si="78"/>
        <v>13600000</v>
      </c>
      <c r="AC158" s="32">
        <f t="shared" si="170"/>
        <v>1360000</v>
      </c>
      <c r="AD158" s="32"/>
      <c r="AE158" s="28">
        <f t="shared" si="166"/>
        <v>12240000</v>
      </c>
      <c r="AF158" s="28">
        <f t="shared" si="173"/>
        <v>12240000</v>
      </c>
      <c r="AG158" s="35">
        <f t="shared" si="171"/>
        <v>0</v>
      </c>
      <c r="AH158" s="28"/>
      <c r="AI158" s="35">
        <f t="shared" si="168"/>
        <v>1</v>
      </c>
      <c r="AJ158" s="49" t="s">
        <v>364</v>
      </c>
    </row>
    <row r="159" spans="1:36" s="19" customFormat="1" ht="28.5" customHeight="1" x14ac:dyDescent="0.25">
      <c r="A159" s="23">
        <v>143</v>
      </c>
      <c r="B159" s="172" t="s">
        <v>365</v>
      </c>
      <c r="C159" s="191" t="s">
        <v>584</v>
      </c>
      <c r="D159" s="42" t="s">
        <v>343</v>
      </c>
      <c r="E159" s="26"/>
      <c r="F159" s="27">
        <v>24</v>
      </c>
      <c r="G159" s="28">
        <v>11000000</v>
      </c>
      <c r="H159" s="28"/>
      <c r="I159" s="28"/>
      <c r="J159" s="28"/>
      <c r="K159" s="28"/>
      <c r="L159" s="28"/>
      <c r="M159" s="28"/>
      <c r="N159" s="28"/>
      <c r="O159" s="28"/>
      <c r="P159" s="51">
        <f t="shared" si="169"/>
        <v>0</v>
      </c>
      <c r="Q159" s="28"/>
      <c r="R159" s="27">
        <v>24</v>
      </c>
      <c r="S159" s="29"/>
      <c r="T159" s="30">
        <f t="shared" si="165"/>
        <v>11000000</v>
      </c>
      <c r="U159" s="28"/>
      <c r="V159" s="50"/>
      <c r="W159" s="28">
        <f t="shared" si="172"/>
        <v>11000000</v>
      </c>
      <c r="X159" s="28"/>
      <c r="Y159" s="30"/>
      <c r="Z159" s="28"/>
      <c r="AA159" s="28"/>
      <c r="AB159" s="31">
        <f t="shared" si="78"/>
        <v>11000000</v>
      </c>
      <c r="AC159" s="32">
        <f t="shared" si="170"/>
        <v>1100000</v>
      </c>
      <c r="AD159" s="32"/>
      <c r="AE159" s="28">
        <f t="shared" si="166"/>
        <v>9900000</v>
      </c>
      <c r="AF159" s="28">
        <f t="shared" si="173"/>
        <v>9900000</v>
      </c>
      <c r="AG159" s="35">
        <f t="shared" si="171"/>
        <v>0</v>
      </c>
      <c r="AH159" s="28"/>
      <c r="AI159" s="35">
        <f t="shared" si="168"/>
        <v>1</v>
      </c>
      <c r="AJ159" s="49" t="s">
        <v>366</v>
      </c>
    </row>
    <row r="160" spans="1:36" s="19" customFormat="1" ht="28.5" customHeight="1" x14ac:dyDescent="0.25">
      <c r="A160" s="23">
        <v>144</v>
      </c>
      <c r="B160" s="172" t="s">
        <v>367</v>
      </c>
      <c r="C160" s="191"/>
      <c r="D160" s="42" t="s">
        <v>51</v>
      </c>
      <c r="E160" s="26"/>
      <c r="F160" s="27">
        <v>24</v>
      </c>
      <c r="G160" s="28">
        <v>15000000</v>
      </c>
      <c r="H160" s="28"/>
      <c r="I160" s="28"/>
      <c r="J160" s="28"/>
      <c r="K160" s="28"/>
      <c r="L160" s="28"/>
      <c r="M160" s="28"/>
      <c r="N160" s="28"/>
      <c r="O160" s="28"/>
      <c r="P160" s="51">
        <f t="shared" si="169"/>
        <v>0</v>
      </c>
      <c r="Q160" s="28"/>
      <c r="R160" s="27">
        <v>24</v>
      </c>
      <c r="S160" s="29"/>
      <c r="T160" s="30">
        <f t="shared" si="165"/>
        <v>15000000</v>
      </c>
      <c r="U160" s="28"/>
      <c r="V160" s="50"/>
      <c r="W160" s="28">
        <f t="shared" si="172"/>
        <v>15000000</v>
      </c>
      <c r="X160" s="28"/>
      <c r="Y160" s="30"/>
      <c r="Z160" s="28"/>
      <c r="AA160" s="28"/>
      <c r="AB160" s="31">
        <f t="shared" si="78"/>
        <v>15000000</v>
      </c>
      <c r="AC160" s="32">
        <f t="shared" si="170"/>
        <v>1500000</v>
      </c>
      <c r="AD160" s="32"/>
      <c r="AE160" s="28">
        <f t="shared" si="166"/>
        <v>13500000</v>
      </c>
      <c r="AF160" s="28">
        <f t="shared" si="173"/>
        <v>13500000</v>
      </c>
      <c r="AG160" s="35">
        <f t="shared" si="171"/>
        <v>0</v>
      </c>
      <c r="AH160" s="28"/>
      <c r="AI160" s="33">
        <f t="shared" si="168"/>
        <v>1</v>
      </c>
      <c r="AJ160" s="49" t="s">
        <v>416</v>
      </c>
    </row>
    <row r="161" spans="1:36" s="19" customFormat="1" ht="28.5" customHeight="1" x14ac:dyDescent="0.25">
      <c r="A161" s="23">
        <v>145</v>
      </c>
      <c r="B161" s="172" t="s">
        <v>398</v>
      </c>
      <c r="C161" s="191"/>
      <c r="D161" s="42" t="s">
        <v>399</v>
      </c>
      <c r="E161" s="26"/>
      <c r="F161" s="27">
        <v>24</v>
      </c>
      <c r="G161" s="28">
        <v>7000000</v>
      </c>
      <c r="H161" s="28"/>
      <c r="I161" s="28"/>
      <c r="J161" s="28"/>
      <c r="K161" s="28"/>
      <c r="L161" s="28"/>
      <c r="M161" s="28"/>
      <c r="N161" s="28"/>
      <c r="O161" s="28"/>
      <c r="P161" s="51">
        <f t="shared" si="169"/>
        <v>0</v>
      </c>
      <c r="Q161" s="28"/>
      <c r="R161" s="27">
        <v>24</v>
      </c>
      <c r="S161" s="29"/>
      <c r="T161" s="30">
        <f t="shared" si="165"/>
        <v>7000000</v>
      </c>
      <c r="U161" s="28"/>
      <c r="V161" s="50"/>
      <c r="W161" s="28">
        <f t="shared" si="172"/>
        <v>7000000</v>
      </c>
      <c r="X161" s="28"/>
      <c r="Y161" s="30"/>
      <c r="Z161" s="28"/>
      <c r="AA161" s="28"/>
      <c r="AB161" s="31">
        <f t="shared" si="78"/>
        <v>7000000</v>
      </c>
      <c r="AC161" s="32">
        <f t="shared" si="170"/>
        <v>700000</v>
      </c>
      <c r="AD161" s="32"/>
      <c r="AE161" s="28">
        <f t="shared" si="166"/>
        <v>6300000</v>
      </c>
      <c r="AF161" s="28">
        <f t="shared" si="173"/>
        <v>6300000</v>
      </c>
      <c r="AG161" s="35">
        <f t="shared" si="171"/>
        <v>0</v>
      </c>
      <c r="AH161" s="28"/>
      <c r="AI161" s="33">
        <f t="shared" si="168"/>
        <v>1</v>
      </c>
      <c r="AJ161" s="164" t="s">
        <v>417</v>
      </c>
    </row>
    <row r="162" spans="1:36" s="19" customFormat="1" ht="34.5" customHeight="1" x14ac:dyDescent="0.25">
      <c r="A162" s="23">
        <v>146</v>
      </c>
      <c r="B162" s="172" t="s">
        <v>369</v>
      </c>
      <c r="C162" s="191"/>
      <c r="D162" s="42" t="s">
        <v>249</v>
      </c>
      <c r="E162" s="26"/>
      <c r="F162" s="27">
        <v>26</v>
      </c>
      <c r="G162" s="28">
        <v>4500000</v>
      </c>
      <c r="H162" s="28"/>
      <c r="I162" s="28"/>
      <c r="J162" s="28"/>
      <c r="K162" s="28"/>
      <c r="L162" s="28"/>
      <c r="M162" s="28"/>
      <c r="N162" s="28"/>
      <c r="O162" s="28"/>
      <c r="P162" s="51"/>
      <c r="Q162" s="28"/>
      <c r="R162" s="27">
        <v>26</v>
      </c>
      <c r="S162" s="29"/>
      <c r="T162" s="30">
        <f t="shared" si="165"/>
        <v>4500000</v>
      </c>
      <c r="U162" s="51"/>
      <c r="V162" s="50"/>
      <c r="W162" s="28">
        <f>+T162-U162-V162</f>
        <v>4500000</v>
      </c>
      <c r="X162" s="28"/>
      <c r="Y162" s="30"/>
      <c r="Z162" s="28"/>
      <c r="AA162" s="28"/>
      <c r="AB162" s="31">
        <f t="shared" si="78"/>
        <v>4500000</v>
      </c>
      <c r="AC162" s="32"/>
      <c r="AD162" s="32"/>
      <c r="AE162" s="28">
        <f t="shared" si="166"/>
        <v>4500000</v>
      </c>
      <c r="AF162" s="28">
        <f t="shared" si="167"/>
        <v>4500000</v>
      </c>
      <c r="AG162" s="35">
        <f t="shared" si="171"/>
        <v>0</v>
      </c>
      <c r="AH162" s="28"/>
      <c r="AI162" s="35">
        <f t="shared" si="168"/>
        <v>0</v>
      </c>
      <c r="AJ162" s="22" t="s">
        <v>382</v>
      </c>
    </row>
    <row r="163" spans="1:36" s="19" customFormat="1" ht="32.25" customHeight="1" x14ac:dyDescent="0.25">
      <c r="A163" s="23">
        <v>147</v>
      </c>
      <c r="B163" s="172" t="s">
        <v>370</v>
      </c>
      <c r="C163" s="191"/>
      <c r="D163" s="42" t="s">
        <v>249</v>
      </c>
      <c r="E163" s="26"/>
      <c r="F163" s="27">
        <v>26</v>
      </c>
      <c r="G163" s="28">
        <v>4500000</v>
      </c>
      <c r="H163" s="28"/>
      <c r="I163" s="28"/>
      <c r="J163" s="28"/>
      <c r="K163" s="28"/>
      <c r="L163" s="28"/>
      <c r="M163" s="28"/>
      <c r="N163" s="28"/>
      <c r="O163" s="28"/>
      <c r="P163" s="51">
        <f t="shared" si="169"/>
        <v>0</v>
      </c>
      <c r="Q163" s="28"/>
      <c r="R163" s="27">
        <v>24.5</v>
      </c>
      <c r="S163" s="29"/>
      <c r="T163" s="30">
        <f t="shared" si="165"/>
        <v>4240385</v>
      </c>
      <c r="U163" s="50">
        <f>+I163</f>
        <v>0</v>
      </c>
      <c r="V163" s="50">
        <f>+N163</f>
        <v>0</v>
      </c>
      <c r="W163" s="28">
        <f>+T163-U163-V163</f>
        <v>4240385</v>
      </c>
      <c r="X163" s="28"/>
      <c r="Y163" s="30"/>
      <c r="Z163" s="28"/>
      <c r="AA163" s="28"/>
      <c r="AB163" s="31">
        <f t="shared" si="78"/>
        <v>4240385</v>
      </c>
      <c r="AC163" s="32"/>
      <c r="AD163" s="32"/>
      <c r="AE163" s="28">
        <f t="shared" si="166"/>
        <v>4240385</v>
      </c>
      <c r="AF163" s="28">
        <f t="shared" si="167"/>
        <v>4240385</v>
      </c>
      <c r="AG163" s="35">
        <f t="shared" si="171"/>
        <v>0</v>
      </c>
      <c r="AH163" s="28"/>
      <c r="AI163" s="35">
        <f t="shared" si="168"/>
        <v>0</v>
      </c>
      <c r="AJ163" s="49" t="s">
        <v>383</v>
      </c>
    </row>
    <row r="164" spans="1:36" s="19" customFormat="1" ht="32.25" customHeight="1" x14ac:dyDescent="0.25">
      <c r="A164" s="23">
        <v>148</v>
      </c>
      <c r="B164" s="172" t="s">
        <v>441</v>
      </c>
      <c r="C164" s="191"/>
      <c r="D164" s="42" t="s">
        <v>249</v>
      </c>
      <c r="E164" s="26"/>
      <c r="F164" s="27">
        <v>26</v>
      </c>
      <c r="G164" s="28">
        <v>4500000</v>
      </c>
      <c r="H164" s="28"/>
      <c r="I164" s="28"/>
      <c r="J164" s="28"/>
      <c r="K164" s="28"/>
      <c r="L164" s="28"/>
      <c r="M164" s="28"/>
      <c r="N164" s="28"/>
      <c r="O164" s="28"/>
      <c r="P164" s="51"/>
      <c r="Q164" s="28"/>
      <c r="R164" s="27">
        <v>8</v>
      </c>
      <c r="S164" s="29"/>
      <c r="T164" s="30">
        <f t="shared" si="165"/>
        <v>1384615</v>
      </c>
      <c r="U164" s="50"/>
      <c r="V164" s="50"/>
      <c r="W164" s="28">
        <f>+T164-U164-V164</f>
        <v>1384615</v>
      </c>
      <c r="X164" s="28"/>
      <c r="Y164" s="30"/>
      <c r="Z164" s="28"/>
      <c r="AA164" s="28"/>
      <c r="AB164" s="31">
        <f t="shared" si="78"/>
        <v>1384615</v>
      </c>
      <c r="AC164" s="32"/>
      <c r="AD164" s="32"/>
      <c r="AE164" s="28">
        <f t="shared" si="166"/>
        <v>1384615</v>
      </c>
      <c r="AF164" s="28">
        <f t="shared" si="167"/>
        <v>1384615</v>
      </c>
      <c r="AG164" s="35">
        <f t="shared" si="171"/>
        <v>0</v>
      </c>
      <c r="AH164" s="28"/>
      <c r="AI164" s="35">
        <f t="shared" si="168"/>
        <v>0</v>
      </c>
      <c r="AJ164" s="49" t="s">
        <v>457</v>
      </c>
    </row>
    <row r="165" spans="1:36" s="19" customFormat="1" ht="32.25" customHeight="1" x14ac:dyDescent="0.25">
      <c r="A165" s="23">
        <v>149</v>
      </c>
      <c r="B165" s="172" t="s">
        <v>371</v>
      </c>
      <c r="C165" s="191"/>
      <c r="D165" s="42" t="s">
        <v>249</v>
      </c>
      <c r="E165" s="26"/>
      <c r="F165" s="27">
        <v>24</v>
      </c>
      <c r="G165" s="28">
        <v>4500000</v>
      </c>
      <c r="H165" s="28"/>
      <c r="I165" s="28"/>
      <c r="J165" s="28"/>
      <c r="K165" s="28"/>
      <c r="L165" s="28"/>
      <c r="M165" s="28"/>
      <c r="N165" s="28"/>
      <c r="O165" s="28"/>
      <c r="P165" s="51">
        <f t="shared" si="169"/>
        <v>0</v>
      </c>
      <c r="Q165" s="28"/>
      <c r="R165" s="27">
        <v>6</v>
      </c>
      <c r="S165" s="29"/>
      <c r="T165" s="30">
        <f t="shared" si="165"/>
        <v>1125000</v>
      </c>
      <c r="U165" s="50">
        <f>+I165</f>
        <v>0</v>
      </c>
      <c r="V165" s="50">
        <f>+N165</f>
        <v>0</v>
      </c>
      <c r="W165" s="28">
        <f>+T165-U165-V165</f>
        <v>1125000</v>
      </c>
      <c r="X165" s="28"/>
      <c r="Y165" s="30"/>
      <c r="Z165" s="28"/>
      <c r="AA165" s="28"/>
      <c r="AB165" s="31">
        <f t="shared" si="78"/>
        <v>1125000</v>
      </c>
      <c r="AC165" s="32"/>
      <c r="AD165" s="32"/>
      <c r="AE165" s="28">
        <f t="shared" si="166"/>
        <v>1125000</v>
      </c>
      <c r="AF165" s="28">
        <f t="shared" si="167"/>
        <v>1125000</v>
      </c>
      <c r="AG165" s="35">
        <f t="shared" si="171"/>
        <v>0</v>
      </c>
      <c r="AH165" s="28"/>
      <c r="AI165" s="35">
        <f t="shared" si="168"/>
        <v>0</v>
      </c>
      <c r="AJ165" s="49" t="s">
        <v>384</v>
      </c>
    </row>
    <row r="166" spans="1:36" s="19" customFormat="1" ht="25.5" customHeight="1" x14ac:dyDescent="0.25">
      <c r="A166" s="52" t="s">
        <v>250</v>
      </c>
      <c r="B166" s="54"/>
      <c r="C166" s="54"/>
      <c r="D166" s="54"/>
      <c r="E166" s="54"/>
      <c r="F166" s="55"/>
      <c r="G166" s="56">
        <f t="shared" ref="G166:AH166" si="174">+SUBTOTAL(9,G12:G165)</f>
        <v>708322222.22222221</v>
      </c>
      <c r="H166" s="56">
        <f t="shared" si="174"/>
        <v>480000000</v>
      </c>
      <c r="I166" s="56">
        <f t="shared" si="174"/>
        <v>0</v>
      </c>
      <c r="J166" s="56">
        <f t="shared" si="174"/>
        <v>0</v>
      </c>
      <c r="K166" s="56">
        <f t="shared" si="174"/>
        <v>112000000</v>
      </c>
      <c r="L166" s="56">
        <f t="shared" si="174"/>
        <v>0</v>
      </c>
      <c r="M166" s="56">
        <f t="shared" si="174"/>
        <v>0</v>
      </c>
      <c r="N166" s="56">
        <f t="shared" si="174"/>
        <v>0</v>
      </c>
      <c r="O166" s="56">
        <f t="shared" si="174"/>
        <v>12000000</v>
      </c>
      <c r="P166" s="56">
        <f t="shared" si="174"/>
        <v>124000000</v>
      </c>
      <c r="Q166" s="56">
        <f t="shared" si="174"/>
        <v>778925000</v>
      </c>
      <c r="R166" s="56">
        <f t="shared" si="174"/>
        <v>3420</v>
      </c>
      <c r="S166" s="56">
        <f t="shared" si="174"/>
        <v>0</v>
      </c>
      <c r="T166" s="57">
        <f t="shared" si="174"/>
        <v>1569142534</v>
      </c>
      <c r="U166" s="56">
        <f t="shared" si="174"/>
        <v>0</v>
      </c>
      <c r="V166" s="56">
        <f t="shared" si="174"/>
        <v>0</v>
      </c>
      <c r="W166" s="56">
        <f t="shared" si="174"/>
        <v>1569142534</v>
      </c>
      <c r="X166" s="56">
        <f t="shared" si="174"/>
        <v>1507000000</v>
      </c>
      <c r="Y166" s="56">
        <f t="shared" si="174"/>
        <v>46</v>
      </c>
      <c r="Z166" s="56">
        <f t="shared" si="174"/>
        <v>202400000</v>
      </c>
      <c r="AA166" s="56">
        <f t="shared" si="174"/>
        <v>50400000</v>
      </c>
      <c r="AB166" s="56">
        <f t="shared" si="174"/>
        <v>411547388</v>
      </c>
      <c r="AC166" s="57">
        <f t="shared" si="174"/>
        <v>56853272</v>
      </c>
      <c r="AD166" s="57">
        <f t="shared" si="174"/>
        <v>4850000</v>
      </c>
      <c r="AE166" s="57">
        <f t="shared" si="174"/>
        <v>1457039262</v>
      </c>
      <c r="AF166" s="188">
        <f t="shared" si="174"/>
        <v>1327138637</v>
      </c>
      <c r="AG166" s="56">
        <f t="shared" si="174"/>
        <v>129900625</v>
      </c>
      <c r="AH166" s="56">
        <f t="shared" si="174"/>
        <v>0</v>
      </c>
      <c r="AI166" s="56">
        <f t="shared" ref="AI166" si="175">+SUBTOTAL(9,AI12:AI165)</f>
        <v>29</v>
      </c>
      <c r="AJ166" s="22"/>
    </row>
    <row r="167" spans="1:36" x14ac:dyDescent="0.25">
      <c r="A167" s="59"/>
      <c r="B167" s="59"/>
      <c r="C167" s="59"/>
      <c r="D167" s="59"/>
      <c r="E167" s="59"/>
      <c r="F167" s="59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13"/>
      <c r="T167" s="61"/>
      <c r="U167" s="61"/>
      <c r="V167" s="61"/>
      <c r="W167" s="62"/>
      <c r="X167"/>
      <c r="Y167" s="176"/>
      <c r="Z167"/>
      <c r="AA167"/>
      <c r="AB167" s="63"/>
      <c r="AC167"/>
      <c r="AD167"/>
      <c r="AE167" s="64"/>
      <c r="AF167" s="64"/>
      <c r="AG167" s="64"/>
    </row>
    <row r="168" spans="1:36" x14ac:dyDescent="0.25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61"/>
      <c r="Q168" s="61"/>
      <c r="R168" s="61"/>
      <c r="S168" s="13"/>
      <c r="T168" s="61"/>
      <c r="U168" s="61"/>
      <c r="V168" s="61"/>
      <c r="AE168" s="4"/>
      <c r="AF168" s="4"/>
      <c r="AG168" s="4"/>
    </row>
    <row r="169" spans="1:36" s="65" customFormat="1" ht="16.5" customHeight="1" x14ac:dyDescent="0.25">
      <c r="F169" s="207" t="s">
        <v>251</v>
      </c>
      <c r="G169" s="207"/>
      <c r="H169" s="207"/>
      <c r="I169" s="67"/>
      <c r="J169" s="67"/>
      <c r="L169" s="68"/>
      <c r="S169" s="67"/>
      <c r="U169" s="208" t="s">
        <v>252</v>
      </c>
      <c r="V169" s="208"/>
      <c r="W169" s="208"/>
      <c r="Y169" s="177"/>
      <c r="Z169" s="69"/>
      <c r="AC169" s="70"/>
      <c r="AD169" s="70"/>
      <c r="AE169" s="209" t="s">
        <v>253</v>
      </c>
      <c r="AF169" s="209"/>
      <c r="AG169" s="209"/>
      <c r="AH169" s="209"/>
      <c r="AJ169" s="168"/>
    </row>
    <row r="170" spans="1:36" ht="15" customHeight="1" x14ac:dyDescent="0.25">
      <c r="F170" s="194" t="s">
        <v>254</v>
      </c>
      <c r="G170" s="194"/>
      <c r="H170" s="194"/>
      <c r="I170" s="4"/>
      <c r="J170" s="4"/>
      <c r="L170" s="72"/>
      <c r="R170" s="64"/>
      <c r="U170" s="194" t="s">
        <v>254</v>
      </c>
      <c r="V170" s="194"/>
      <c r="W170" s="194"/>
      <c r="AA170" s="64"/>
      <c r="AC170" s="61"/>
      <c r="AD170" s="61"/>
      <c r="AE170" s="194" t="s">
        <v>254</v>
      </c>
      <c r="AF170" s="194"/>
      <c r="AG170" s="194"/>
      <c r="AH170" s="194"/>
    </row>
    <row r="171" spans="1:36" ht="15" customHeight="1" x14ac:dyDescent="0.25"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178"/>
      <c r="Z171" s="71"/>
      <c r="AA171" s="71"/>
      <c r="AB171" s="71"/>
      <c r="AC171" s="73"/>
      <c r="AD171" s="73"/>
      <c r="AE171" s="71"/>
      <c r="AF171" s="71"/>
      <c r="AG171" s="71"/>
      <c r="AH171" s="71"/>
      <c r="AI171" s="71"/>
      <c r="AJ171" s="98"/>
    </row>
    <row r="172" spans="1:36" ht="15" customHeight="1" x14ac:dyDescent="0.25">
      <c r="F172" s="71"/>
      <c r="G172" s="71"/>
      <c r="H172" s="71"/>
      <c r="I172" s="4"/>
      <c r="J172" s="4"/>
      <c r="L172" s="72"/>
      <c r="R172" s="64"/>
      <c r="U172" s="71"/>
      <c r="V172" s="71"/>
      <c r="W172" s="71"/>
      <c r="X172" s="74"/>
      <c r="AB172" s="64"/>
      <c r="AC172" s="61"/>
      <c r="AD172" s="61"/>
      <c r="AE172" s="71"/>
      <c r="AF172" s="71"/>
      <c r="AG172" s="71"/>
      <c r="AH172" s="71"/>
    </row>
    <row r="173" spans="1:36" x14ac:dyDescent="0.25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61"/>
      <c r="Q173" s="61"/>
      <c r="R173" s="61"/>
      <c r="S173" s="13"/>
      <c r="T173" s="61"/>
      <c r="U173" s="61"/>
      <c r="V173" s="61"/>
      <c r="W173" s="64"/>
      <c r="AA173" s="64"/>
      <c r="AB173" s="64"/>
      <c r="AC173" s="64"/>
      <c r="AD173" s="64"/>
      <c r="AE173" s="4"/>
      <c r="AF173" s="4"/>
      <c r="AG173" s="4"/>
    </row>
    <row r="174" spans="1:36" x14ac:dyDescent="0.25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61"/>
      <c r="Q174" s="61"/>
      <c r="R174" s="61"/>
      <c r="S174" s="13"/>
      <c r="T174" s="61"/>
      <c r="U174" s="61"/>
      <c r="V174" s="61"/>
      <c r="W174" s="75"/>
      <c r="AE174" s="4"/>
      <c r="AF174" s="4"/>
      <c r="AG174" s="4"/>
    </row>
    <row r="175" spans="1:36" x14ac:dyDescent="0.2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61"/>
      <c r="Q175" s="61"/>
      <c r="R175" s="61"/>
      <c r="S175" s="13"/>
      <c r="T175" s="61"/>
      <c r="U175" s="61"/>
      <c r="V175" s="61"/>
      <c r="W175" s="61"/>
      <c r="X175" s="61"/>
      <c r="Y175" s="179"/>
      <c r="Z175" s="61"/>
      <c r="AA175" s="61"/>
      <c r="AB175" s="61"/>
      <c r="AC175" s="61"/>
      <c r="AD175" s="61"/>
      <c r="AE175" s="61"/>
      <c r="AF175" s="61"/>
      <c r="AG175" s="61"/>
    </row>
    <row r="176" spans="1:36" x14ac:dyDescent="0.25">
      <c r="F176"/>
      <c r="G176"/>
      <c r="H176"/>
      <c r="I176"/>
      <c r="J176"/>
      <c r="K176"/>
      <c r="L176"/>
      <c r="M176"/>
      <c r="N176"/>
      <c r="O176"/>
      <c r="P176"/>
      <c r="Q176"/>
      <c r="R176"/>
      <c r="S176" s="62"/>
      <c r="T176"/>
      <c r="U176"/>
      <c r="W176" s="75"/>
    </row>
    <row r="177" spans="6:23" x14ac:dyDescent="0.25">
      <c r="F177"/>
      <c r="G177"/>
      <c r="H177"/>
      <c r="I177"/>
      <c r="J177"/>
      <c r="K177"/>
      <c r="L177"/>
      <c r="M177"/>
      <c r="N177"/>
      <c r="O177"/>
      <c r="P177"/>
      <c r="Q177"/>
      <c r="R177"/>
      <c r="S177" s="62"/>
      <c r="T177" s="61"/>
      <c r="U177"/>
      <c r="W177" s="75"/>
    </row>
    <row r="178" spans="6:23" x14ac:dyDescent="0.25">
      <c r="W178" s="75"/>
    </row>
    <row r="180" spans="6:23" x14ac:dyDescent="0.25">
      <c r="T180" s="64"/>
    </row>
  </sheetData>
  <autoFilter ref="A11:AJ166" xr:uid="{00000000-0009-0000-0000-000000000000}"/>
  <mergeCells count="35">
    <mergeCell ref="O5:V5"/>
    <mergeCell ref="O6:V6"/>
    <mergeCell ref="I7:J7"/>
    <mergeCell ref="A9:A10"/>
    <mergeCell ref="B9:B10"/>
    <mergeCell ref="D9:D10"/>
    <mergeCell ref="E9:E10"/>
    <mergeCell ref="F9:F10"/>
    <mergeCell ref="G9:G10"/>
    <mergeCell ref="H9:H10"/>
    <mergeCell ref="I9:O9"/>
    <mergeCell ref="P9:P10"/>
    <mergeCell ref="Q9:Q10"/>
    <mergeCell ref="S9:S10"/>
    <mergeCell ref="C9:C10"/>
    <mergeCell ref="AJ9:AJ10"/>
    <mergeCell ref="F169:H169"/>
    <mergeCell ref="U169:W169"/>
    <mergeCell ref="AE169:AH169"/>
    <mergeCell ref="AI9:AI10"/>
    <mergeCell ref="AC9:AC10"/>
    <mergeCell ref="AD9:AD10"/>
    <mergeCell ref="F170:H170"/>
    <mergeCell ref="U170:W170"/>
    <mergeCell ref="AE170:AH170"/>
    <mergeCell ref="AE9:AE10"/>
    <mergeCell ref="AF9:AF10"/>
    <mergeCell ref="AG9:AG10"/>
    <mergeCell ref="AH9:AH10"/>
    <mergeCell ref="U9:V9"/>
    <mergeCell ref="W9:W10"/>
    <mergeCell ref="X9:AA9"/>
    <mergeCell ref="AB9:AB10"/>
    <mergeCell ref="R9:R10"/>
    <mergeCell ref="T9:T10"/>
  </mergeCells>
  <hyperlinks>
    <hyperlink ref="C104" r:id="rId1" display="https://info.astahealthcare.com/personnel" xr:uid="{4AB2A12E-9537-49F3-82E0-42DB76C5A4CE}"/>
    <hyperlink ref="C105" r:id="rId2" display="https://info.astahealthcare.com/personnel" xr:uid="{B14826A5-7429-4440-AF54-C63A00F7B2BF}"/>
    <hyperlink ref="C106" r:id="rId3" display="https://info.astahealthcare.com/personnel" xr:uid="{4EAECE23-E7BB-40E7-B240-DF3AD310C55A}"/>
    <hyperlink ref="C107" r:id="rId4" display="https://info.astahealthcare.com/personnel" xr:uid="{7BCB7D62-BC3E-4708-B97C-BD8246916EA7}"/>
    <hyperlink ref="C108" r:id="rId5" display="https://info.astahealthcare.com/personnel" xr:uid="{2B55A4E3-06B5-4E19-80F1-F23A80C9F523}"/>
    <hyperlink ref="C109" r:id="rId6" display="https://info.astahealthcare.com/personnel" xr:uid="{DD16245F-63ED-418E-9B78-B6AD5EDEA19C}"/>
    <hyperlink ref="C110" r:id="rId7" display="https://info.astahealthcare.com/personnel" xr:uid="{41906C1C-7026-4DAE-A06E-7672B2C6246D}"/>
    <hyperlink ref="C111" r:id="rId8" display="https://info.astahealthcare.com/personnel" xr:uid="{3E313B3A-8E27-4C39-B10E-FDE999830EB8}"/>
    <hyperlink ref="C112" r:id="rId9" display="https://info.astahealthcare.com/personnel" xr:uid="{1089215A-465D-4D6A-91BE-42EF8023E62C}"/>
    <hyperlink ref="C113" r:id="rId10" display="https://info.astahealthcare.com/personnel" xr:uid="{4D4BA0A6-E954-4706-830B-759BAA89C45C}"/>
    <hyperlink ref="C114" r:id="rId11" display="https://info.astahealthcare.com/personnel" xr:uid="{FED24E9F-9794-47E6-A798-5D6F8E944B33}"/>
    <hyperlink ref="C115" r:id="rId12" display="https://info.astahealthcare.com/personnel" xr:uid="{0D54FC96-687B-4BA5-9C9F-324BB7755566}"/>
    <hyperlink ref="C116" r:id="rId13" display="https://info.astahealthcare.com/personnel" xr:uid="{C804EB2E-8BC4-4C69-98F4-B6EF72321186}"/>
    <hyperlink ref="C117" r:id="rId14" display="https://info.astahealthcare.com/personnel" xr:uid="{E9C30B0A-34FC-4673-BD27-226FF7AB050E}"/>
    <hyperlink ref="C118" r:id="rId15" display="https://info.astahealthcare.com/personnel" xr:uid="{BDFBF361-6BC6-457D-BCE2-06EEA7F0F622}"/>
    <hyperlink ref="C119" r:id="rId16" display="https://info.astahealthcare.com/personnel" xr:uid="{228F7613-E8DF-4B5E-9569-B7A23A841E24}"/>
    <hyperlink ref="C120" r:id="rId17" display="https://info.astahealthcare.com/personnel" xr:uid="{E9DF79B6-C8CE-46C5-A23D-97D01E2AF64F}"/>
    <hyperlink ref="C121" r:id="rId18" display="https://info.astahealthcare.com/personnel" xr:uid="{CF4ADD99-C59F-4C72-8536-A6C153ED20B5}"/>
    <hyperlink ref="C122" r:id="rId19" display="https://info.astahealthcare.com/personnel" xr:uid="{BE8584EC-6211-449B-B9A2-1A8DB24488FB}"/>
    <hyperlink ref="C123" r:id="rId20" display="https://info.astahealthcare.com/personnel" xr:uid="{D61F3422-B4D9-4E34-B63D-4707B3DFED4E}"/>
    <hyperlink ref="C124" r:id="rId21" display="https://info.astahealthcare.com/personnel" xr:uid="{C55EB380-FBF1-41E9-B78F-AF1EDD27F1A3}"/>
    <hyperlink ref="C125" r:id="rId22" display="https://info.astahealthcare.com/personnel" xr:uid="{F7D029C5-CF16-49ED-921D-24AFCE709B8C}"/>
    <hyperlink ref="C126" r:id="rId23" display="https://info.astahealthcare.com/personnel" xr:uid="{71F1509C-A069-46D3-8666-AA3CBC48EC33}"/>
    <hyperlink ref="C127" r:id="rId24" display="https://info.astahealthcare.com/personnel" xr:uid="{C48A4740-961C-4BE6-8BA6-E3C69BF1057C}"/>
    <hyperlink ref="C129" r:id="rId25" display="https://info.astahealthcare.com/personnel" xr:uid="{0FC179B9-B539-4909-B4EA-90FD93DC9B41}"/>
    <hyperlink ref="C132" r:id="rId26" display="https://info.astahealthcare.com/personnel" xr:uid="{61650C3E-4911-4D1A-8939-D06844E01843}"/>
    <hyperlink ref="C133" r:id="rId27" display="https://info.astahealthcare.com/personnel" xr:uid="{88719DF5-1B3C-41AD-9C1D-297D1DA90BB3}"/>
    <hyperlink ref="C136" r:id="rId28" display="https://info.astahealthcare.com/personnel" xr:uid="{942519B5-6203-43E5-82BF-F8F489EEFCBF}"/>
    <hyperlink ref="C137" r:id="rId29" display="https://info.astahealthcare.com/personnel" xr:uid="{1D9856E9-4189-4695-BA7B-8A2AFE893459}"/>
    <hyperlink ref="C138" r:id="rId30" display="https://info.astahealthcare.com/personnel" xr:uid="{A57C5694-1AC1-4DE6-AE3A-D9E203C0CD1B}"/>
    <hyperlink ref="C139" r:id="rId31" display="https://info.astahealthcare.com/personnel" xr:uid="{2873E250-2358-4B6C-977E-19588BD2D7EB}"/>
    <hyperlink ref="C140" r:id="rId32" display="https://info.astahealthcare.com/personnel" xr:uid="{8B644E42-559E-4120-9FC1-8DF46558D721}"/>
    <hyperlink ref="C141" r:id="rId33" display="https://info.astahealthcare.com/personnel" xr:uid="{8839D2C5-DA1A-49D8-A884-DD49D2597F35}"/>
    <hyperlink ref="C142" r:id="rId34" display="https://info.astahealthcare.com/personnel" xr:uid="{57FE3D36-3123-441A-8BDA-CBE248B55CF4}"/>
    <hyperlink ref="C143" r:id="rId35" display="https://info.astahealthcare.com/personnel" xr:uid="{B00D344E-65EC-45A9-AE61-3177ECC1009A}"/>
    <hyperlink ref="C144" r:id="rId36" display="https://info.astahealthcare.com/personnel" xr:uid="{0229B3D1-74F5-43BB-8DC3-96AE279C35ED}"/>
    <hyperlink ref="C145" r:id="rId37" display="https://info.astahealthcare.com/personnel" xr:uid="{8499512B-5EAD-48B0-98B4-A94B1A77936F}"/>
    <hyperlink ref="C151" r:id="rId38" display="https://info.astahealthcare.com/personnel" xr:uid="{42A5CA3D-4519-464A-AD37-F9EEFE6910C9}"/>
    <hyperlink ref="C152" r:id="rId39" display="https://info.astahealthcare.com/personnel" xr:uid="{64AA5976-1262-49B3-A65D-0C09ED585C7B}"/>
    <hyperlink ref="C156" r:id="rId40" display="https://info.astahealthcare.com/personnel" xr:uid="{84D18F50-23B3-4A18-9AFF-AFA0CB2BC9F6}"/>
    <hyperlink ref="C157" r:id="rId41" display="https://info.astahealthcare.com/personnel" xr:uid="{C1B25D9C-9C33-4170-8FEF-C25538E337C5}"/>
    <hyperlink ref="C158" r:id="rId42" display="https://info.astahealthcare.com/personnel" xr:uid="{07F6DDC1-4287-4FF3-99A9-CB263A0B79D8}"/>
    <hyperlink ref="C159" r:id="rId43" display="https://info.astahealthcare.com/personnel" xr:uid="{D3488C42-6CC7-4D03-98DD-C1A7EC6DFA7C}"/>
  </hyperlinks>
  <printOptions horizontalCentered="1"/>
  <pageMargins left="0.17" right="0" top="0" bottom="0.2" header="0.2" footer="0.21"/>
  <pageSetup paperSize="9" scale="46" orientation="landscape" r:id="rId44"/>
  <rowBreaks count="1" manualBreakCount="1">
    <brk id="170" max="33" man="1"/>
  </rowBreaks>
  <colBreaks count="1" manualBreakCount="1">
    <brk id="33" max="66" man="1"/>
  </colBreaks>
  <legacyDrawing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4A4C-8B79-4C34-B1E0-C4695AB8D0A4}">
  <dimension ref="A1:AG143"/>
  <sheetViews>
    <sheetView topLeftCell="A122" workbookViewId="0">
      <selection activeCell="E42" sqref="E42"/>
    </sheetView>
  </sheetViews>
  <sheetFormatPr defaultRowHeight="15" x14ac:dyDescent="0.25"/>
  <cols>
    <col min="1" max="1" width="6.42578125" style="1" customWidth="1"/>
    <col min="2" max="2" width="16.28515625" style="1" customWidth="1"/>
    <col min="3" max="3" width="15" style="1" customWidth="1"/>
    <col min="4" max="4" width="16" style="1" customWidth="1"/>
    <col min="5" max="5" width="13.5703125" style="1" customWidth="1"/>
    <col min="6" max="6" width="13" style="1" customWidth="1"/>
    <col min="7" max="7" width="13.5703125" style="1" customWidth="1"/>
    <col min="8" max="8" width="13.7109375" style="1" customWidth="1"/>
    <col min="9" max="9" width="13.85546875" style="1" customWidth="1"/>
    <col min="10" max="10" width="13.28515625" style="1" customWidth="1"/>
    <col min="11" max="11" width="12.5703125" style="1" customWidth="1"/>
    <col min="12" max="12" width="14.7109375" style="1" customWidth="1"/>
    <col min="13" max="13" width="16.140625" style="1" customWidth="1"/>
    <col min="14" max="16" width="13.140625" style="1" customWidth="1"/>
    <col min="17" max="17" width="16.42578125" style="1" customWidth="1"/>
    <col min="18" max="18" width="11.28515625" style="4" customWidth="1"/>
    <col min="19" max="19" width="14.7109375" style="1" customWidth="1"/>
    <col min="20" max="20" width="5.85546875" style="1" hidden="1" customWidth="1"/>
    <col min="21" max="21" width="12.5703125" style="1" hidden="1" customWidth="1"/>
    <col min="22" max="22" width="17.85546875" style="1" customWidth="1"/>
    <col min="23" max="23" width="15" style="1" customWidth="1"/>
    <col min="24" max="24" width="5.28515625" style="1" customWidth="1"/>
    <col min="25" max="25" width="14.5703125" style="1" customWidth="1"/>
    <col min="26" max="26" width="12" style="1" customWidth="1"/>
    <col min="27" max="27" width="12.42578125" style="1" customWidth="1"/>
    <col min="28" max="28" width="14.7109375" style="1" customWidth="1"/>
    <col min="29" max="29" width="12.42578125" style="1" customWidth="1"/>
    <col min="30" max="30" width="15" style="1" customWidth="1"/>
    <col min="31" max="32" width="13.85546875" style="1" customWidth="1"/>
    <col min="33" max="33" width="7.85546875" style="1" customWidth="1"/>
    <col min="34" max="34" width="9.140625" style="1"/>
    <col min="35" max="35" width="40.7109375" style="1" customWidth="1"/>
    <col min="36" max="16384" width="9.140625" style="1"/>
  </cols>
  <sheetData>
    <row r="1" spans="1:33" x14ac:dyDescent="0.25">
      <c r="A1" s="2" t="s">
        <v>0</v>
      </c>
    </row>
    <row r="2" spans="1:33" x14ac:dyDescent="0.25">
      <c r="A2" s="2" t="s">
        <v>1</v>
      </c>
    </row>
    <row r="3" spans="1:33" x14ac:dyDescent="0.25">
      <c r="A3" s="2" t="s">
        <v>2</v>
      </c>
      <c r="Z3" s="5" t="s">
        <v>262</v>
      </c>
      <c r="AA3" s="2"/>
    </row>
    <row r="4" spans="1:33" x14ac:dyDescent="0.25">
      <c r="A4" s="2" t="s">
        <v>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S4" s="4"/>
      <c r="T4" s="4"/>
      <c r="U4" s="4"/>
    </row>
    <row r="5" spans="1:33" ht="31.5" customHeight="1" x14ac:dyDescent="0.3">
      <c r="A5" s="231" t="s">
        <v>263</v>
      </c>
      <c r="B5" s="231"/>
      <c r="C5" s="231"/>
      <c r="D5" s="231"/>
      <c r="E5" s="231"/>
      <c r="F5" s="231"/>
      <c r="G5" s="231"/>
      <c r="H5" s="231"/>
      <c r="I5" s="231"/>
      <c r="J5" s="231"/>
      <c r="K5" s="231"/>
      <c r="L5" s="231"/>
      <c r="M5" s="231"/>
      <c r="N5" s="231"/>
      <c r="O5" s="231"/>
      <c r="P5" s="231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ht="26.25" customHeight="1" x14ac:dyDescent="0.3">
      <c r="A6" s="216" t="s">
        <v>408</v>
      </c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77"/>
      <c r="R6" s="77"/>
      <c r="S6" s="77"/>
      <c r="T6" s="77"/>
      <c r="U6" s="77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2.75" customHeight="1" x14ac:dyDescent="0.3">
      <c r="A7" s="78"/>
      <c r="B7" s="148">
        <v>1</v>
      </c>
      <c r="C7" s="148">
        <v>2</v>
      </c>
      <c r="D7" s="148">
        <v>3</v>
      </c>
      <c r="E7" s="148">
        <v>4</v>
      </c>
      <c r="F7" s="148">
        <v>5</v>
      </c>
      <c r="G7" s="148">
        <v>6</v>
      </c>
      <c r="H7" s="148">
        <v>7</v>
      </c>
      <c r="I7" s="148">
        <v>8</v>
      </c>
      <c r="J7" s="148">
        <v>9</v>
      </c>
      <c r="K7" s="148">
        <v>10</v>
      </c>
      <c r="L7" s="148">
        <v>11</v>
      </c>
      <c r="M7" s="148">
        <v>12</v>
      </c>
      <c r="N7" s="148">
        <v>13</v>
      </c>
      <c r="O7" s="148">
        <v>14</v>
      </c>
      <c r="P7" s="148">
        <v>15</v>
      </c>
      <c r="Q7" s="77"/>
      <c r="R7" s="77"/>
      <c r="S7" s="77"/>
      <c r="T7" s="77"/>
      <c r="U7" s="77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21" customHeight="1" x14ac:dyDescent="0.25">
      <c r="A8" s="221" t="s">
        <v>6</v>
      </c>
      <c r="B8" s="221" t="s">
        <v>7</v>
      </c>
      <c r="C8" s="221" t="s">
        <v>8</v>
      </c>
      <c r="D8" s="221" t="s">
        <v>264</v>
      </c>
      <c r="E8" s="222" t="s">
        <v>265</v>
      </c>
      <c r="F8" s="222"/>
      <c r="G8" s="222"/>
      <c r="H8" s="222"/>
      <c r="I8" s="79"/>
      <c r="J8" s="232" t="s">
        <v>266</v>
      </c>
      <c r="K8" s="233"/>
      <c r="L8" s="234"/>
      <c r="M8" s="223" t="s">
        <v>455</v>
      </c>
      <c r="N8" s="221" t="s">
        <v>423</v>
      </c>
      <c r="O8" s="221" t="s">
        <v>424</v>
      </c>
      <c r="P8" s="223" t="s">
        <v>456</v>
      </c>
      <c r="Q8" s="225"/>
      <c r="R8" s="80"/>
      <c r="S8"/>
      <c r="T8" s="4"/>
      <c r="V8" s="81"/>
      <c r="AD8" s="64"/>
      <c r="AE8" s="6"/>
      <c r="AF8" s="64"/>
    </row>
    <row r="9" spans="1:33" ht="38.25" customHeight="1" x14ac:dyDescent="0.25">
      <c r="A9" s="222"/>
      <c r="B9" s="222"/>
      <c r="C9" s="222"/>
      <c r="D9" s="222"/>
      <c r="E9" s="82" t="s">
        <v>267</v>
      </c>
      <c r="F9" s="82" t="s">
        <v>268</v>
      </c>
      <c r="G9" s="82" t="s">
        <v>269</v>
      </c>
      <c r="H9" s="83" t="s">
        <v>270</v>
      </c>
      <c r="I9" s="84" t="s">
        <v>271</v>
      </c>
      <c r="J9" s="84" t="s">
        <v>272</v>
      </c>
      <c r="K9" s="84" t="s">
        <v>269</v>
      </c>
      <c r="L9" s="83" t="s">
        <v>270</v>
      </c>
      <c r="M9" s="224"/>
      <c r="N9" s="222"/>
      <c r="O9" s="222"/>
      <c r="P9" s="224"/>
      <c r="Q9" s="225"/>
      <c r="R9" s="80"/>
      <c r="S9"/>
      <c r="T9" s="4"/>
      <c r="U9" s="4"/>
      <c r="V9" s="85"/>
      <c r="AE9" s="6"/>
    </row>
    <row r="10" spans="1:33" s="19" customFormat="1" ht="21.75" customHeight="1" x14ac:dyDescent="0.25">
      <c r="A10" s="86" t="s">
        <v>41</v>
      </c>
      <c r="B10" s="87"/>
      <c r="C10" s="87"/>
      <c r="D10" s="88">
        <f>+SUBTOTAL(9,D11:D13)</f>
        <v>10000000</v>
      </c>
      <c r="E10" s="88">
        <f t="shared" ref="E10:O10" si="0">+SUBTOTAL(9,E11:E13)</f>
        <v>800000</v>
      </c>
      <c r="F10" s="88">
        <f t="shared" si="0"/>
        <v>150000</v>
      </c>
      <c r="G10" s="88">
        <f t="shared" si="0"/>
        <v>100000</v>
      </c>
      <c r="H10" s="89">
        <f>+SUBTOTAL(9,H11:H13)</f>
        <v>1050000</v>
      </c>
      <c r="I10" s="88">
        <f t="shared" si="0"/>
        <v>1750000</v>
      </c>
      <c r="J10" s="88">
        <f t="shared" si="0"/>
        <v>300000</v>
      </c>
      <c r="K10" s="88">
        <f t="shared" si="0"/>
        <v>100000</v>
      </c>
      <c r="L10" s="89">
        <f>+SUBTOTAL(9,L11:L13)</f>
        <v>2150000</v>
      </c>
      <c r="M10" s="57">
        <f>+H10+L10</f>
        <v>3200000</v>
      </c>
      <c r="N10" s="88">
        <f t="shared" si="0"/>
        <v>150000</v>
      </c>
      <c r="O10" s="88">
        <f t="shared" si="0"/>
        <v>300000</v>
      </c>
      <c r="P10" s="57">
        <f>+N10+O10</f>
        <v>450000</v>
      </c>
      <c r="R10" s="90"/>
      <c r="S10" s="91"/>
      <c r="T10" s="92"/>
      <c r="U10" s="93"/>
      <c r="AE10" s="94"/>
    </row>
    <row r="11" spans="1:33" ht="36.75" customHeight="1" x14ac:dyDescent="0.25">
      <c r="A11" s="34">
        <v>1</v>
      </c>
      <c r="B11" s="171" t="s">
        <v>46</v>
      </c>
      <c r="C11" s="26" t="s">
        <v>47</v>
      </c>
      <c r="D11" s="34">
        <f>+VLOOKUP(B11,'BẢNG LƯƠNG T08.2024'!$B$13:$H$166,6,0)</f>
        <v>5000000</v>
      </c>
      <c r="E11" s="34">
        <f>$D11*8%</f>
        <v>400000</v>
      </c>
      <c r="F11" s="34">
        <f>$D11*1.5%</f>
        <v>75000</v>
      </c>
      <c r="G11" s="34">
        <f>$D11*1%</f>
        <v>50000</v>
      </c>
      <c r="H11" s="34">
        <f>SUM(E11:G11)</f>
        <v>525000</v>
      </c>
      <c r="I11" s="34">
        <f>$D11*17.5%</f>
        <v>875000</v>
      </c>
      <c r="J11" s="34">
        <f>$D11*3%</f>
        <v>150000</v>
      </c>
      <c r="K11" s="34">
        <f>$D11*1%</f>
        <v>50000</v>
      </c>
      <c r="L11" s="34">
        <f>SUM(I11:K11)</f>
        <v>1075000</v>
      </c>
      <c r="M11" s="34"/>
      <c r="N11" s="34">
        <f>+D11*1%</f>
        <v>50000</v>
      </c>
      <c r="O11" s="34">
        <f>+D11*2%</f>
        <v>100000</v>
      </c>
      <c r="P11" s="34"/>
      <c r="R11" s="92"/>
      <c r="S11"/>
      <c r="T11" s="4"/>
      <c r="U11" s="4"/>
      <c r="V11" s="4"/>
      <c r="AE11" s="6"/>
    </row>
    <row r="12" spans="1:33" ht="36.75" customHeight="1" x14ac:dyDescent="0.25">
      <c r="A12" s="34">
        <v>2</v>
      </c>
      <c r="B12" s="171" t="s">
        <v>394</v>
      </c>
      <c r="C12" s="26" t="s">
        <v>422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>
        <v>50000</v>
      </c>
      <c r="O12" s="34">
        <v>100000</v>
      </c>
      <c r="P12" s="34"/>
      <c r="Q12" s="19" t="s">
        <v>425</v>
      </c>
      <c r="R12" s="92"/>
      <c r="S12"/>
      <c r="T12" s="4"/>
      <c r="U12" s="4"/>
      <c r="V12" s="4"/>
      <c r="AE12" s="6"/>
    </row>
    <row r="13" spans="1:33" ht="36.75" customHeight="1" x14ac:dyDescent="0.25">
      <c r="A13" s="34">
        <v>3</v>
      </c>
      <c r="B13" s="171" t="s">
        <v>42</v>
      </c>
      <c r="C13" s="26" t="s">
        <v>273</v>
      </c>
      <c r="D13" s="34">
        <f>+VLOOKUP(B13,'BẢNG LƯƠNG T08.2024'!$B$13:$H$166,6,0)</f>
        <v>5000000</v>
      </c>
      <c r="E13" s="34">
        <f t="shared" ref="E13" si="1">$D13*8%</f>
        <v>400000</v>
      </c>
      <c r="F13" s="34">
        <f t="shared" ref="F13" si="2">$D13*1.5%</f>
        <v>75000</v>
      </c>
      <c r="G13" s="34">
        <f t="shared" ref="G13" si="3">$D13*1%</f>
        <v>50000</v>
      </c>
      <c r="H13" s="34">
        <f>SUM(E13:G13)</f>
        <v>525000</v>
      </c>
      <c r="I13" s="34">
        <f t="shared" ref="I13" si="4">$D13*17.5%</f>
        <v>875000</v>
      </c>
      <c r="J13" s="34">
        <f t="shared" ref="J13" si="5">$D13*3%</f>
        <v>150000</v>
      </c>
      <c r="K13" s="34">
        <f t="shared" ref="K13" si="6">$D13*1%</f>
        <v>50000</v>
      </c>
      <c r="L13" s="34">
        <f>SUM(I13:K13)</f>
        <v>1075000</v>
      </c>
      <c r="M13" s="34"/>
      <c r="N13" s="34">
        <f>+D13*1%</f>
        <v>50000</v>
      </c>
      <c r="O13" s="34">
        <f>+D13*2%</f>
        <v>100000</v>
      </c>
      <c r="P13" s="34"/>
      <c r="R13" s="92"/>
      <c r="S13"/>
      <c r="T13" s="4"/>
      <c r="U13" s="4"/>
      <c r="V13" s="4"/>
      <c r="AE13" s="6"/>
    </row>
    <row r="14" spans="1:33" s="19" customFormat="1" ht="24.75" customHeight="1" x14ac:dyDescent="0.25">
      <c r="A14" s="86" t="s">
        <v>49</v>
      </c>
      <c r="B14" s="87"/>
      <c r="C14" s="87"/>
      <c r="D14" s="88">
        <f>+SUBTOTAL(9,D15:D30)</f>
        <v>68920000</v>
      </c>
      <c r="E14" s="88">
        <f t="shared" ref="E14:L14" si="7">+SUBTOTAL(9,E15:E30)</f>
        <v>5513600</v>
      </c>
      <c r="F14" s="88">
        <f t="shared" si="7"/>
        <v>1033800</v>
      </c>
      <c r="G14" s="88">
        <f t="shared" si="7"/>
        <v>689200</v>
      </c>
      <c r="H14" s="89">
        <f t="shared" si="7"/>
        <v>7236600</v>
      </c>
      <c r="I14" s="88">
        <f t="shared" si="7"/>
        <v>12061000</v>
      </c>
      <c r="J14" s="88">
        <f t="shared" si="7"/>
        <v>2067600</v>
      </c>
      <c r="K14" s="88">
        <f t="shared" si="7"/>
        <v>689200</v>
      </c>
      <c r="L14" s="89">
        <f t="shared" si="7"/>
        <v>14817800</v>
      </c>
      <c r="M14" s="57">
        <f>+H14+L14</f>
        <v>22054400</v>
      </c>
      <c r="N14" s="88">
        <f>+SUBTOTAL(9,N15:N30)</f>
        <v>689200</v>
      </c>
      <c r="O14" s="88">
        <f>+SUBTOTAL(9,O15:O30)</f>
        <v>1378400</v>
      </c>
      <c r="P14" s="57">
        <f>+N14+O14</f>
        <v>2067600</v>
      </c>
      <c r="R14" s="90"/>
      <c r="S14" s="91"/>
      <c r="T14" s="92"/>
      <c r="U14" s="92"/>
      <c r="V14" s="95"/>
      <c r="AE14" s="94"/>
    </row>
    <row r="15" spans="1:33" s="19" customFormat="1" ht="36.75" customHeight="1" x14ac:dyDescent="0.25">
      <c r="A15" s="96">
        <v>4</v>
      </c>
      <c r="B15" s="172" t="s">
        <v>50</v>
      </c>
      <c r="C15" s="97" t="s">
        <v>51</v>
      </c>
      <c r="D15" s="34">
        <f>+VLOOKUP(B15,'BẢNG LƯƠNG T08.2024'!$B$13:$H$166,6,0)</f>
        <v>5000000</v>
      </c>
      <c r="E15" s="34">
        <f>$D15*8%</f>
        <v>400000</v>
      </c>
      <c r="F15" s="34">
        <f>$D15*1.5%</f>
        <v>75000</v>
      </c>
      <c r="G15" s="34">
        <f>$D15*1%</f>
        <v>50000</v>
      </c>
      <c r="H15" s="34">
        <f t="shared" ref="H15:H30" si="8">SUM(E15:G15)</f>
        <v>525000</v>
      </c>
      <c r="I15" s="34">
        <f>$D15*17.5%</f>
        <v>875000</v>
      </c>
      <c r="J15" s="34">
        <f>$D15*3%</f>
        <v>150000</v>
      </c>
      <c r="K15" s="34">
        <f>$D15*1%</f>
        <v>50000</v>
      </c>
      <c r="L15" s="34">
        <f t="shared" ref="L15:L30" si="9">SUM(I15:K15)</f>
        <v>1075000</v>
      </c>
      <c r="M15" s="27"/>
      <c r="N15" s="34">
        <f>+D15*1%</f>
        <v>50000</v>
      </c>
      <c r="O15" s="34">
        <f>+D15*2%</f>
        <v>100000</v>
      </c>
      <c r="P15" s="34"/>
      <c r="Q15" s="98"/>
      <c r="R15" s="92"/>
      <c r="S15"/>
      <c r="T15" s="92"/>
      <c r="U15" s="92"/>
    </row>
    <row r="16" spans="1:33" s="19" customFormat="1" ht="36.75" customHeight="1" x14ac:dyDescent="0.25">
      <c r="A16" s="96">
        <v>5</v>
      </c>
      <c r="B16" s="172" t="s">
        <v>55</v>
      </c>
      <c r="C16" s="97" t="s">
        <v>51</v>
      </c>
      <c r="D16" s="34">
        <f>+VLOOKUP(B16,'BẢNG LƯƠNG T08.2024'!$B$13:$H$166,6,0)</f>
        <v>5000000</v>
      </c>
      <c r="E16" s="34">
        <f t="shared" ref="E16:E112" si="10">$D16*8%</f>
        <v>400000</v>
      </c>
      <c r="F16" s="34">
        <f t="shared" ref="F16:F112" si="11">$D16*1.5%</f>
        <v>75000</v>
      </c>
      <c r="G16" s="34">
        <f t="shared" ref="G16:G112" si="12">$D16*1%</f>
        <v>50000</v>
      </c>
      <c r="H16" s="34">
        <f t="shared" si="8"/>
        <v>525000</v>
      </c>
      <c r="I16" s="34">
        <f t="shared" ref="I16:I112" si="13">$D16*17.5%</f>
        <v>875000</v>
      </c>
      <c r="J16" s="34">
        <f t="shared" ref="J16:J112" si="14">$D16*3%</f>
        <v>150000</v>
      </c>
      <c r="K16" s="34">
        <f t="shared" ref="K16:K112" si="15">$D16*1%</f>
        <v>50000</v>
      </c>
      <c r="L16" s="34">
        <f t="shared" si="9"/>
        <v>1075000</v>
      </c>
      <c r="M16" s="27"/>
      <c r="N16" s="34">
        <f t="shared" ref="N16:N30" si="16">+D16*1%</f>
        <v>50000</v>
      </c>
      <c r="O16" s="34">
        <f t="shared" ref="O16:O30" si="17">+D16*2%</f>
        <v>100000</v>
      </c>
      <c r="P16" s="34"/>
      <c r="Q16" s="98"/>
      <c r="R16" s="92"/>
      <c r="S16"/>
      <c r="T16" s="92"/>
      <c r="U16" s="92"/>
    </row>
    <row r="17" spans="1:21" s="19" customFormat="1" ht="36.75" customHeight="1" x14ac:dyDescent="0.25">
      <c r="A17" s="96">
        <v>6</v>
      </c>
      <c r="B17" s="172" t="s">
        <v>60</v>
      </c>
      <c r="C17" s="97" t="s">
        <v>51</v>
      </c>
      <c r="D17" s="34">
        <f>+VLOOKUP(B17,'BẢNG LƯƠNG T08.2024'!$B$13:$H$166,6,0)</f>
        <v>3900000</v>
      </c>
      <c r="E17" s="34">
        <f>$D17*8%</f>
        <v>312000</v>
      </c>
      <c r="F17" s="34">
        <f>$D17*1.5%</f>
        <v>58500</v>
      </c>
      <c r="G17" s="34">
        <f>$D17*1%</f>
        <v>39000</v>
      </c>
      <c r="H17" s="34">
        <f t="shared" si="8"/>
        <v>409500</v>
      </c>
      <c r="I17" s="34">
        <f>$D17*17.5%</f>
        <v>682500</v>
      </c>
      <c r="J17" s="34">
        <f>$D17*3%</f>
        <v>117000</v>
      </c>
      <c r="K17" s="34">
        <f>$D17*1%</f>
        <v>39000</v>
      </c>
      <c r="L17" s="34">
        <f t="shared" si="9"/>
        <v>838500</v>
      </c>
      <c r="M17" s="27"/>
      <c r="N17" s="34">
        <f t="shared" si="16"/>
        <v>39000</v>
      </c>
      <c r="O17" s="34">
        <f t="shared" si="17"/>
        <v>78000</v>
      </c>
      <c r="P17" s="34"/>
      <c r="Q17" s="98"/>
      <c r="R17" s="92"/>
      <c r="S17"/>
      <c r="T17" s="92"/>
      <c r="U17" s="92"/>
    </row>
    <row r="18" spans="1:21" s="19" customFormat="1" ht="36.75" customHeight="1" x14ac:dyDescent="0.25">
      <c r="A18" s="96">
        <v>7</v>
      </c>
      <c r="B18" s="172" t="s">
        <v>336</v>
      </c>
      <c r="C18" s="97" t="s">
        <v>51</v>
      </c>
      <c r="D18" s="34">
        <f>+VLOOKUP(B18,'BẢNG LƯƠNG T08.2024'!$B$13:$H$166,6,0)</f>
        <v>3900000</v>
      </c>
      <c r="E18" s="34">
        <f>$D18*8%</f>
        <v>312000</v>
      </c>
      <c r="F18" s="34">
        <f>$D18*1.5%</f>
        <v>58500</v>
      </c>
      <c r="G18" s="34">
        <f>$D18*1%</f>
        <v>39000</v>
      </c>
      <c r="H18" s="34">
        <f t="shared" ref="H18" si="18">SUM(E18:G18)</f>
        <v>409500</v>
      </c>
      <c r="I18" s="34">
        <f>$D18*17.5%</f>
        <v>682500</v>
      </c>
      <c r="J18" s="34">
        <f>$D18*3%</f>
        <v>117000</v>
      </c>
      <c r="K18" s="34">
        <f>$D18*1%</f>
        <v>39000</v>
      </c>
      <c r="L18" s="34">
        <f t="shared" ref="L18" si="19">SUM(I18:K18)</f>
        <v>838500</v>
      </c>
      <c r="M18" s="27"/>
      <c r="N18" s="34">
        <f t="shared" ref="N18" si="20">+D18*1%</f>
        <v>39000</v>
      </c>
      <c r="O18" s="34">
        <f t="shared" ref="O18" si="21">+D18*2%</f>
        <v>78000</v>
      </c>
      <c r="P18" s="34"/>
      <c r="Q18" s="98"/>
      <c r="R18" s="92"/>
      <c r="S18"/>
      <c r="T18" s="92"/>
      <c r="U18" s="92"/>
    </row>
    <row r="19" spans="1:21" s="19" customFormat="1" ht="36.75" customHeight="1" x14ac:dyDescent="0.25">
      <c r="A19" s="96">
        <v>8</v>
      </c>
      <c r="B19" s="172" t="s">
        <v>62</v>
      </c>
      <c r="C19" s="97" t="s">
        <v>51</v>
      </c>
      <c r="D19" s="34">
        <f>+VLOOKUP(B19,'BẢNG LƯƠNG T08.2024'!$B$13:$H$166,6,0)</f>
        <v>3860000</v>
      </c>
      <c r="E19" s="34">
        <f t="shared" si="10"/>
        <v>308800</v>
      </c>
      <c r="F19" s="34">
        <f t="shared" si="11"/>
        <v>57900</v>
      </c>
      <c r="G19" s="34">
        <f t="shared" si="12"/>
        <v>38600</v>
      </c>
      <c r="H19" s="34">
        <f t="shared" si="8"/>
        <v>405300</v>
      </c>
      <c r="I19" s="34">
        <f t="shared" si="13"/>
        <v>675500</v>
      </c>
      <c r="J19" s="34">
        <f t="shared" si="14"/>
        <v>115800</v>
      </c>
      <c r="K19" s="34">
        <f t="shared" si="15"/>
        <v>38600</v>
      </c>
      <c r="L19" s="34">
        <f t="shared" si="9"/>
        <v>829900</v>
      </c>
      <c r="M19" s="27"/>
      <c r="N19" s="34">
        <f t="shared" si="16"/>
        <v>38600</v>
      </c>
      <c r="O19" s="34">
        <f t="shared" si="17"/>
        <v>77200</v>
      </c>
      <c r="P19" s="34"/>
      <c r="Q19" s="98"/>
      <c r="R19" s="92"/>
      <c r="S19"/>
      <c r="T19" s="92"/>
      <c r="U19" s="92"/>
    </row>
    <row r="20" spans="1:21" s="19" customFormat="1" ht="36.75" customHeight="1" x14ac:dyDescent="0.25">
      <c r="A20" s="96">
        <v>9</v>
      </c>
      <c r="B20" s="172" t="s">
        <v>64</v>
      </c>
      <c r="C20" s="97" t="s">
        <v>51</v>
      </c>
      <c r="D20" s="34">
        <f>+VLOOKUP(B20,'BẢNG LƯƠNG T08.2024'!$B$13:$H$166,6,0)</f>
        <v>3860000</v>
      </c>
      <c r="E20" s="34">
        <f t="shared" si="10"/>
        <v>308800</v>
      </c>
      <c r="F20" s="34">
        <f t="shared" si="11"/>
        <v>57900</v>
      </c>
      <c r="G20" s="34">
        <f t="shared" si="12"/>
        <v>38600</v>
      </c>
      <c r="H20" s="34">
        <f t="shared" si="8"/>
        <v>405300</v>
      </c>
      <c r="I20" s="34">
        <f t="shared" si="13"/>
        <v>675500</v>
      </c>
      <c r="J20" s="34">
        <f t="shared" si="14"/>
        <v>115800</v>
      </c>
      <c r="K20" s="34">
        <f t="shared" si="15"/>
        <v>38600</v>
      </c>
      <c r="L20" s="34">
        <f t="shared" si="9"/>
        <v>829900</v>
      </c>
      <c r="M20" s="27"/>
      <c r="N20" s="34">
        <f t="shared" si="16"/>
        <v>38600</v>
      </c>
      <c r="O20" s="34">
        <f t="shared" si="17"/>
        <v>77200</v>
      </c>
      <c r="P20" s="34"/>
      <c r="Q20" s="98"/>
      <c r="R20" s="92"/>
      <c r="S20"/>
      <c r="T20" s="92"/>
      <c r="U20" s="92"/>
    </row>
    <row r="21" spans="1:21" s="19" customFormat="1" ht="36.75" customHeight="1" x14ac:dyDescent="0.25">
      <c r="A21" s="96">
        <v>10</v>
      </c>
      <c r="B21" s="172" t="s">
        <v>53</v>
      </c>
      <c r="C21" s="97" t="s">
        <v>261</v>
      </c>
      <c r="D21" s="34">
        <f>+VLOOKUP(B21,'BẢNG LƯƠNG T08.2024'!$B$13:$H$166,6,0)</f>
        <v>3900000</v>
      </c>
      <c r="E21" s="34">
        <f>$D21*8%</f>
        <v>312000</v>
      </c>
      <c r="F21" s="34">
        <f>$D21*1.5%</f>
        <v>58500</v>
      </c>
      <c r="G21" s="34">
        <f>$D21*1%</f>
        <v>39000</v>
      </c>
      <c r="H21" s="34">
        <f>SUM(E21:G21)</f>
        <v>409500</v>
      </c>
      <c r="I21" s="34">
        <f>$D21*17.5%</f>
        <v>682500</v>
      </c>
      <c r="J21" s="34">
        <f>$D21*3%</f>
        <v>117000</v>
      </c>
      <c r="K21" s="34">
        <f>$D21*1%</f>
        <v>39000</v>
      </c>
      <c r="L21" s="34">
        <f>SUM(I21:K21)</f>
        <v>838500</v>
      </c>
      <c r="M21" s="27"/>
      <c r="N21" s="34">
        <f>+D21*1%</f>
        <v>39000</v>
      </c>
      <c r="O21" s="34">
        <f>+D21*2%</f>
        <v>78000</v>
      </c>
      <c r="P21" s="34"/>
      <c r="Q21" s="98"/>
      <c r="R21" s="92"/>
      <c r="S21"/>
      <c r="T21" s="92"/>
      <c r="U21" s="92"/>
    </row>
    <row r="22" spans="1:21" s="19" customFormat="1" ht="36.75" customHeight="1" x14ac:dyDescent="0.25">
      <c r="A22" s="96">
        <v>11</v>
      </c>
      <c r="B22" s="172" t="s">
        <v>58</v>
      </c>
      <c r="C22" s="97" t="s">
        <v>261</v>
      </c>
      <c r="D22" s="34">
        <f>+VLOOKUP(B22,'BẢNG LƯƠNG T08.2024'!$B$13:$H$166,6,0)</f>
        <v>3900000</v>
      </c>
      <c r="E22" s="34">
        <f>$D22*8%</f>
        <v>312000</v>
      </c>
      <c r="F22" s="34">
        <f>$D22*1.5%</f>
        <v>58500</v>
      </c>
      <c r="G22" s="34">
        <f>$D22*1%</f>
        <v>39000</v>
      </c>
      <c r="H22" s="34">
        <f>SUM(E22:G22)</f>
        <v>409500</v>
      </c>
      <c r="I22" s="34">
        <f>$D22*17.5%</f>
        <v>682500</v>
      </c>
      <c r="J22" s="34">
        <f>$D22*3%</f>
        <v>117000</v>
      </c>
      <c r="K22" s="34">
        <f>$D22*1%</f>
        <v>39000</v>
      </c>
      <c r="L22" s="34">
        <f>SUM(I22:K22)</f>
        <v>838500</v>
      </c>
      <c r="M22" s="27"/>
      <c r="N22" s="34">
        <f>+D22*1%</f>
        <v>39000</v>
      </c>
      <c r="O22" s="34">
        <f>+D22*2%</f>
        <v>78000</v>
      </c>
      <c r="P22" s="34"/>
      <c r="Q22" s="98"/>
      <c r="R22" s="92"/>
      <c r="S22"/>
      <c r="T22" s="92"/>
      <c r="U22" s="92"/>
    </row>
    <row r="23" spans="1:21" s="19" customFormat="1" ht="36.75" customHeight="1" x14ac:dyDescent="0.25">
      <c r="A23" s="96">
        <v>12</v>
      </c>
      <c r="B23" s="172" t="s">
        <v>340</v>
      </c>
      <c r="C23" s="99" t="s">
        <v>397</v>
      </c>
      <c r="D23" s="34">
        <f>+VLOOKUP(B23,'BẢNG LƯƠNG T08.2024'!$B$13:$H$166,6,0)</f>
        <v>3900000</v>
      </c>
      <c r="E23" s="34">
        <f>$D23*8%</f>
        <v>312000</v>
      </c>
      <c r="F23" s="34">
        <f>$D23*1.5%</f>
        <v>58500</v>
      </c>
      <c r="G23" s="34">
        <f>$D23*1%</f>
        <v>39000</v>
      </c>
      <c r="H23" s="34">
        <f>SUM(E23:G23)</f>
        <v>409500</v>
      </c>
      <c r="I23" s="34">
        <f>$D23*17.5%</f>
        <v>682500</v>
      </c>
      <c r="J23" s="34">
        <f>$D23*3%</f>
        <v>117000</v>
      </c>
      <c r="K23" s="34">
        <f>$D23*1%</f>
        <v>39000</v>
      </c>
      <c r="L23" s="34">
        <f>SUM(I23:K23)</f>
        <v>838500</v>
      </c>
      <c r="M23" s="27"/>
      <c r="N23" s="34">
        <f>+D23*1%</f>
        <v>39000</v>
      </c>
      <c r="O23" s="34">
        <f t="shared" ref="O23:O24" si="22">+D23*2%</f>
        <v>78000</v>
      </c>
      <c r="P23" s="34"/>
      <c r="Q23" s="98"/>
      <c r="R23" s="92"/>
      <c r="S23"/>
      <c r="T23" s="92"/>
      <c r="U23" s="92"/>
    </row>
    <row r="24" spans="1:21" s="19" customFormat="1" ht="36.75" customHeight="1" x14ac:dyDescent="0.25">
      <c r="A24" s="96">
        <v>13</v>
      </c>
      <c r="B24" s="172" t="s">
        <v>244</v>
      </c>
      <c r="C24" s="99" t="s">
        <v>245</v>
      </c>
      <c r="D24" s="34">
        <f>+VLOOKUP(B24,'BẢNG LƯƠNG T08.2024'!$B$13:$H$166,6,0)</f>
        <v>5000000</v>
      </c>
      <c r="E24" s="34">
        <f>$D24*8%</f>
        <v>400000</v>
      </c>
      <c r="F24" s="34">
        <f>$D24*1.5%</f>
        <v>75000</v>
      </c>
      <c r="G24" s="34">
        <f>$D24*1%</f>
        <v>50000</v>
      </c>
      <c r="H24" s="34">
        <f>SUM(E24:G24)</f>
        <v>525000</v>
      </c>
      <c r="I24" s="34">
        <f>$D24*17.5%</f>
        <v>875000</v>
      </c>
      <c r="J24" s="34">
        <f>$D24*3%</f>
        <v>150000</v>
      </c>
      <c r="K24" s="34">
        <f>$D24*1%</f>
        <v>50000</v>
      </c>
      <c r="L24" s="34">
        <f>SUM(I24:K24)</f>
        <v>1075000</v>
      </c>
      <c r="M24" s="27"/>
      <c r="N24" s="34">
        <f>+D24*1%</f>
        <v>50000</v>
      </c>
      <c r="O24" s="34">
        <f t="shared" si="22"/>
        <v>100000</v>
      </c>
      <c r="P24" s="34"/>
      <c r="Q24" s="98"/>
      <c r="R24" s="92"/>
      <c r="S24"/>
      <c r="T24" s="92"/>
      <c r="U24" s="92"/>
    </row>
    <row r="25" spans="1:21" s="19" customFormat="1" ht="36.75" customHeight="1" x14ac:dyDescent="0.25">
      <c r="A25" s="96">
        <v>14</v>
      </c>
      <c r="B25" s="172" t="s">
        <v>66</v>
      </c>
      <c r="C25" s="99" t="s">
        <v>67</v>
      </c>
      <c r="D25" s="34">
        <f>+VLOOKUP(B25,'BẢNG LƯƠNG T08.2024'!$B$13:$H$166,6,0)</f>
        <v>5000000</v>
      </c>
      <c r="E25" s="34">
        <f t="shared" si="10"/>
        <v>400000</v>
      </c>
      <c r="F25" s="34">
        <f t="shared" si="11"/>
        <v>75000</v>
      </c>
      <c r="G25" s="34">
        <f t="shared" si="12"/>
        <v>50000</v>
      </c>
      <c r="H25" s="34">
        <f t="shared" si="8"/>
        <v>525000</v>
      </c>
      <c r="I25" s="34">
        <f t="shared" si="13"/>
        <v>875000</v>
      </c>
      <c r="J25" s="34">
        <f t="shared" si="14"/>
        <v>150000</v>
      </c>
      <c r="K25" s="34">
        <f t="shared" si="15"/>
        <v>50000</v>
      </c>
      <c r="L25" s="34">
        <f t="shared" si="9"/>
        <v>1075000</v>
      </c>
      <c r="M25" s="27"/>
      <c r="N25" s="34">
        <f t="shared" si="16"/>
        <v>50000</v>
      </c>
      <c r="O25" s="34">
        <f t="shared" si="17"/>
        <v>100000</v>
      </c>
      <c r="P25" s="34"/>
      <c r="Q25" s="98"/>
      <c r="R25" s="92"/>
      <c r="S25"/>
      <c r="T25" s="92"/>
      <c r="U25" s="92"/>
    </row>
    <row r="26" spans="1:21" s="19" customFormat="1" ht="36.75" customHeight="1" x14ac:dyDescent="0.25">
      <c r="A26" s="96">
        <v>15</v>
      </c>
      <c r="B26" s="172" t="s">
        <v>69</v>
      </c>
      <c r="C26" s="99" t="s">
        <v>70</v>
      </c>
      <c r="D26" s="34">
        <f>+VLOOKUP(B26,'BẢNG LƯƠNG T08.2024'!$B$13:$H$166,6,0)</f>
        <v>5000000</v>
      </c>
      <c r="E26" s="34">
        <f t="shared" si="10"/>
        <v>400000</v>
      </c>
      <c r="F26" s="34">
        <f t="shared" si="11"/>
        <v>75000</v>
      </c>
      <c r="G26" s="34">
        <f t="shared" si="12"/>
        <v>50000</v>
      </c>
      <c r="H26" s="34">
        <f t="shared" si="8"/>
        <v>525000</v>
      </c>
      <c r="I26" s="34">
        <f t="shared" si="13"/>
        <v>875000</v>
      </c>
      <c r="J26" s="34">
        <f t="shared" si="14"/>
        <v>150000</v>
      </c>
      <c r="K26" s="34">
        <f t="shared" si="15"/>
        <v>50000</v>
      </c>
      <c r="L26" s="34">
        <f t="shared" si="9"/>
        <v>1075000</v>
      </c>
      <c r="M26" s="27"/>
      <c r="N26" s="34">
        <f t="shared" si="16"/>
        <v>50000</v>
      </c>
      <c r="O26" s="34">
        <f t="shared" si="17"/>
        <v>100000</v>
      </c>
      <c r="P26" s="34"/>
      <c r="Q26" s="98"/>
      <c r="R26" s="92"/>
      <c r="S26"/>
      <c r="T26" s="92"/>
      <c r="U26" s="92"/>
    </row>
    <row r="27" spans="1:21" s="19" customFormat="1" ht="36.75" customHeight="1" x14ac:dyDescent="0.25">
      <c r="A27" s="96">
        <v>16</v>
      </c>
      <c r="B27" s="172" t="s">
        <v>331</v>
      </c>
      <c r="C27" s="99" t="s">
        <v>70</v>
      </c>
      <c r="D27" s="34">
        <f>+VLOOKUP(B27,'BẢNG LƯƠNG T08.2024'!$B$13:$H$166,6,0)</f>
        <v>3900000</v>
      </c>
      <c r="E27" s="34">
        <f t="shared" si="10"/>
        <v>312000</v>
      </c>
      <c r="F27" s="34">
        <f t="shared" si="11"/>
        <v>58500</v>
      </c>
      <c r="G27" s="34">
        <f t="shared" si="12"/>
        <v>39000</v>
      </c>
      <c r="H27" s="34">
        <f t="shared" si="8"/>
        <v>409500</v>
      </c>
      <c r="I27" s="34">
        <f t="shared" si="13"/>
        <v>682500</v>
      </c>
      <c r="J27" s="34">
        <f t="shared" si="14"/>
        <v>117000</v>
      </c>
      <c r="K27" s="34">
        <f t="shared" si="15"/>
        <v>39000</v>
      </c>
      <c r="L27" s="34">
        <f t="shared" si="9"/>
        <v>838500</v>
      </c>
      <c r="M27" s="27"/>
      <c r="N27" s="34">
        <f t="shared" si="16"/>
        <v>39000</v>
      </c>
      <c r="O27" s="34">
        <f t="shared" si="17"/>
        <v>78000</v>
      </c>
      <c r="P27" s="34"/>
      <c r="Q27" s="98"/>
      <c r="R27" s="92"/>
      <c r="S27"/>
      <c r="T27" s="92"/>
      <c r="U27" s="92"/>
    </row>
    <row r="28" spans="1:21" s="19" customFormat="1" ht="36.75" customHeight="1" x14ac:dyDescent="0.25">
      <c r="A28" s="96">
        <v>17</v>
      </c>
      <c r="B28" s="172" t="s">
        <v>72</v>
      </c>
      <c r="C28" s="42" t="s">
        <v>75</v>
      </c>
      <c r="D28" s="34">
        <f>+VLOOKUP(B28,'BẢNG LƯƠNG T08.2024'!$B$13:$H$166,6,0)</f>
        <v>5000000</v>
      </c>
      <c r="E28" s="34">
        <f>$D28*8%</f>
        <v>400000</v>
      </c>
      <c r="F28" s="34">
        <f>$D28*1.5%</f>
        <v>75000</v>
      </c>
      <c r="G28" s="34">
        <f>$D28*1%</f>
        <v>50000</v>
      </c>
      <c r="H28" s="34">
        <f>SUM(E28:G28)</f>
        <v>525000</v>
      </c>
      <c r="I28" s="34">
        <f>$D28*17.5%</f>
        <v>875000</v>
      </c>
      <c r="J28" s="34">
        <f>$D28*3%</f>
        <v>150000</v>
      </c>
      <c r="K28" s="34">
        <f>$D28*1%</f>
        <v>50000</v>
      </c>
      <c r="L28" s="34">
        <f>SUM(I28:K28)</f>
        <v>1075000</v>
      </c>
      <c r="M28" s="27"/>
      <c r="N28" s="34">
        <f>+D28*1%</f>
        <v>50000</v>
      </c>
      <c r="O28" s="34">
        <f>+D28*2%</f>
        <v>100000</v>
      </c>
      <c r="P28" s="34"/>
      <c r="Q28" s="98"/>
      <c r="R28" s="92"/>
      <c r="S28"/>
      <c r="T28" s="92"/>
      <c r="U28" s="92"/>
    </row>
    <row r="29" spans="1:21" s="19" customFormat="1" ht="36.75" customHeight="1" x14ac:dyDescent="0.25">
      <c r="A29" s="96">
        <v>18</v>
      </c>
      <c r="B29" s="172" t="s">
        <v>74</v>
      </c>
      <c r="C29" s="42" t="s">
        <v>75</v>
      </c>
      <c r="D29" s="34">
        <f>+VLOOKUP(B29,'BẢNG LƯƠNG T08.2024'!$B$13:$H$166,6,0)</f>
        <v>3900000</v>
      </c>
      <c r="E29" s="34">
        <f t="shared" si="10"/>
        <v>312000</v>
      </c>
      <c r="F29" s="34">
        <f t="shared" si="11"/>
        <v>58500</v>
      </c>
      <c r="G29" s="34">
        <f t="shared" si="12"/>
        <v>39000</v>
      </c>
      <c r="H29" s="34">
        <f t="shared" ref="H29" si="23">SUM(E29:G29)</f>
        <v>409500</v>
      </c>
      <c r="I29" s="34">
        <f t="shared" si="13"/>
        <v>682500</v>
      </c>
      <c r="J29" s="34">
        <f t="shared" si="14"/>
        <v>117000</v>
      </c>
      <c r="K29" s="34">
        <f t="shared" si="15"/>
        <v>39000</v>
      </c>
      <c r="L29" s="34">
        <f t="shared" ref="L29" si="24">SUM(I29:K29)</f>
        <v>838500</v>
      </c>
      <c r="M29" s="27"/>
      <c r="N29" s="34">
        <f t="shared" ref="N29" si="25">+D29*1%</f>
        <v>39000</v>
      </c>
      <c r="O29" s="34">
        <f t="shared" ref="O29" si="26">+D29*2%</f>
        <v>78000</v>
      </c>
      <c r="P29" s="34"/>
      <c r="Q29" s="98"/>
      <c r="R29" s="92"/>
      <c r="S29"/>
      <c r="T29" s="92"/>
      <c r="U29" s="92"/>
    </row>
    <row r="30" spans="1:21" s="19" customFormat="1" ht="36.75" customHeight="1" x14ac:dyDescent="0.25">
      <c r="A30" s="96">
        <v>19</v>
      </c>
      <c r="B30" s="172" t="s">
        <v>380</v>
      </c>
      <c r="C30" s="42" t="s">
        <v>75</v>
      </c>
      <c r="D30" s="34">
        <f>+VLOOKUP(B30,'BẢNG LƯƠNG T08.2024'!$B$13:$H$166,6,0)</f>
        <v>3900000</v>
      </c>
      <c r="E30" s="34">
        <f t="shared" si="10"/>
        <v>312000</v>
      </c>
      <c r="F30" s="34">
        <f t="shared" si="11"/>
        <v>58500</v>
      </c>
      <c r="G30" s="34">
        <f t="shared" si="12"/>
        <v>39000</v>
      </c>
      <c r="H30" s="34">
        <f t="shared" si="8"/>
        <v>409500</v>
      </c>
      <c r="I30" s="34">
        <f t="shared" si="13"/>
        <v>682500</v>
      </c>
      <c r="J30" s="34">
        <f t="shared" si="14"/>
        <v>117000</v>
      </c>
      <c r="K30" s="34">
        <f t="shared" si="15"/>
        <v>39000</v>
      </c>
      <c r="L30" s="34">
        <f t="shared" si="9"/>
        <v>838500</v>
      </c>
      <c r="M30" s="27"/>
      <c r="N30" s="34">
        <f t="shared" si="16"/>
        <v>39000</v>
      </c>
      <c r="O30" s="34">
        <f t="shared" si="17"/>
        <v>78000</v>
      </c>
      <c r="P30" s="34"/>
      <c r="Q30" s="98"/>
      <c r="R30" s="92"/>
      <c r="S30"/>
      <c r="T30" s="92"/>
      <c r="U30" s="92"/>
    </row>
    <row r="31" spans="1:21" s="19" customFormat="1" ht="25.5" customHeight="1" x14ac:dyDescent="0.25">
      <c r="A31" s="86" t="s">
        <v>77</v>
      </c>
      <c r="B31" s="86"/>
      <c r="C31" s="86"/>
      <c r="D31" s="86">
        <f>+SUBTOTAL(9,D32:D124)</f>
        <v>390080000</v>
      </c>
      <c r="E31" s="86">
        <f t="shared" ref="E31:L31" si="27">+SUBTOTAL(9,E32:E124)</f>
        <v>31206400</v>
      </c>
      <c r="F31" s="86">
        <f t="shared" si="27"/>
        <v>5851200</v>
      </c>
      <c r="G31" s="86">
        <f t="shared" si="27"/>
        <v>3900800</v>
      </c>
      <c r="H31" s="100">
        <f t="shared" si="27"/>
        <v>40958400</v>
      </c>
      <c r="I31" s="86">
        <f t="shared" si="27"/>
        <v>68264000</v>
      </c>
      <c r="J31" s="86">
        <f t="shared" si="27"/>
        <v>11702400</v>
      </c>
      <c r="K31" s="86">
        <f t="shared" si="27"/>
        <v>3900800</v>
      </c>
      <c r="L31" s="100">
        <f t="shared" si="27"/>
        <v>83867200</v>
      </c>
      <c r="M31" s="57">
        <f>H31+L31</f>
        <v>124825600</v>
      </c>
      <c r="N31" s="86">
        <f>+SUBTOTAL(9,N32:N124)</f>
        <v>3900800</v>
      </c>
      <c r="O31" s="86">
        <f>+SUBTOTAL(9,O32:O124)</f>
        <v>7801600</v>
      </c>
      <c r="P31" s="57">
        <f>+N31+O31</f>
        <v>11702400</v>
      </c>
      <c r="Q31" s="98"/>
      <c r="R31" s="92"/>
      <c r="S31"/>
      <c r="T31" s="92"/>
      <c r="U31" s="92"/>
    </row>
    <row r="32" spans="1:21" s="19" customFormat="1" ht="36.75" customHeight="1" x14ac:dyDescent="0.25">
      <c r="A32" s="96">
        <v>20</v>
      </c>
      <c r="B32" s="172" t="s">
        <v>78</v>
      </c>
      <c r="C32" s="25" t="s">
        <v>274</v>
      </c>
      <c r="D32" s="34">
        <f>+VLOOKUP(B32,'BẢNG LƯƠNG T08.2024'!$B$13:$H$166,6,0)</f>
        <v>5000000</v>
      </c>
      <c r="E32" s="34">
        <f t="shared" si="10"/>
        <v>400000</v>
      </c>
      <c r="F32" s="34">
        <f t="shared" si="11"/>
        <v>75000</v>
      </c>
      <c r="G32" s="34">
        <f t="shared" si="12"/>
        <v>50000</v>
      </c>
      <c r="H32" s="34">
        <f t="shared" ref="H32:H107" si="28">SUM(E32:G32)</f>
        <v>525000</v>
      </c>
      <c r="I32" s="34">
        <f t="shared" si="13"/>
        <v>875000</v>
      </c>
      <c r="J32" s="34">
        <f t="shared" si="14"/>
        <v>150000</v>
      </c>
      <c r="K32" s="34">
        <f t="shared" si="15"/>
        <v>50000</v>
      </c>
      <c r="L32" s="34">
        <f t="shared" ref="L32:L107" si="29">SUM(I32:K32)</f>
        <v>1075000</v>
      </c>
      <c r="M32" s="27"/>
      <c r="N32" s="34">
        <f t="shared" ref="N32:N107" si="30">+D32*1%</f>
        <v>50000</v>
      </c>
      <c r="O32" s="34">
        <f t="shared" ref="O32:O107" si="31">+D32*2%</f>
        <v>100000</v>
      </c>
      <c r="P32" s="34"/>
      <c r="Q32" s="98"/>
      <c r="R32" s="92"/>
      <c r="S32"/>
      <c r="T32" s="92"/>
      <c r="U32" s="92"/>
    </row>
    <row r="33" spans="1:21" s="19" customFormat="1" ht="36.75" customHeight="1" x14ac:dyDescent="0.25">
      <c r="A33" s="96">
        <v>21</v>
      </c>
      <c r="B33" s="172" t="s">
        <v>81</v>
      </c>
      <c r="C33" s="42" t="s">
        <v>275</v>
      </c>
      <c r="D33" s="34">
        <f>+VLOOKUP(B33,'BẢNG LƯƠNG T08.2024'!$B$13:$H$166,6,0)</f>
        <v>5000000</v>
      </c>
      <c r="E33" s="34">
        <f t="shared" si="10"/>
        <v>400000</v>
      </c>
      <c r="F33" s="34">
        <f t="shared" si="11"/>
        <v>75000</v>
      </c>
      <c r="G33" s="34">
        <f t="shared" si="12"/>
        <v>50000</v>
      </c>
      <c r="H33" s="34">
        <f t="shared" si="28"/>
        <v>525000</v>
      </c>
      <c r="I33" s="34">
        <f t="shared" si="13"/>
        <v>875000</v>
      </c>
      <c r="J33" s="34">
        <f t="shared" si="14"/>
        <v>150000</v>
      </c>
      <c r="K33" s="34">
        <f t="shared" si="15"/>
        <v>50000</v>
      </c>
      <c r="L33" s="34">
        <f t="shared" si="29"/>
        <v>1075000</v>
      </c>
      <c r="M33" s="27"/>
      <c r="N33" s="34">
        <f t="shared" si="30"/>
        <v>50000</v>
      </c>
      <c r="O33" s="34">
        <f t="shared" si="31"/>
        <v>100000</v>
      </c>
      <c r="P33" s="34"/>
      <c r="Q33" s="98"/>
      <c r="R33" s="92"/>
      <c r="S33"/>
      <c r="T33" s="92"/>
      <c r="U33" s="92"/>
    </row>
    <row r="34" spans="1:21" s="19" customFormat="1" ht="36.75" customHeight="1" x14ac:dyDescent="0.25">
      <c r="A34" s="96">
        <v>22</v>
      </c>
      <c r="B34" s="172" t="s">
        <v>84</v>
      </c>
      <c r="C34" s="42" t="s">
        <v>275</v>
      </c>
      <c r="D34" s="34">
        <f>+VLOOKUP(B34,'BẢNG LƯƠNG T08.2024'!$B$13:$H$166,6,0)</f>
        <v>5000000</v>
      </c>
      <c r="E34" s="34">
        <f t="shared" si="10"/>
        <v>400000</v>
      </c>
      <c r="F34" s="34">
        <f t="shared" si="11"/>
        <v>75000</v>
      </c>
      <c r="G34" s="34">
        <f t="shared" si="12"/>
        <v>50000</v>
      </c>
      <c r="H34" s="34">
        <f t="shared" si="28"/>
        <v>525000</v>
      </c>
      <c r="I34" s="34">
        <f t="shared" si="13"/>
        <v>875000</v>
      </c>
      <c r="J34" s="34">
        <f t="shared" si="14"/>
        <v>150000</v>
      </c>
      <c r="K34" s="34">
        <f t="shared" si="15"/>
        <v>50000</v>
      </c>
      <c r="L34" s="34">
        <f t="shared" si="29"/>
        <v>1075000</v>
      </c>
      <c r="M34" s="27"/>
      <c r="N34" s="34">
        <f t="shared" si="30"/>
        <v>50000</v>
      </c>
      <c r="O34" s="34">
        <f t="shared" si="31"/>
        <v>100000</v>
      </c>
      <c r="P34" s="34"/>
      <c r="Q34" s="98"/>
      <c r="R34" s="92"/>
      <c r="S34"/>
      <c r="T34" s="92"/>
      <c r="U34" s="92"/>
    </row>
    <row r="35" spans="1:21" s="19" customFormat="1" ht="36.75" customHeight="1" x14ac:dyDescent="0.25">
      <c r="A35" s="96">
        <v>23</v>
      </c>
      <c r="B35" s="172" t="s">
        <v>86</v>
      </c>
      <c r="C35" s="42" t="s">
        <v>87</v>
      </c>
      <c r="D35" s="34">
        <f>+VLOOKUP(B35,'BẢNG LƯƠNG T08.2024'!$B$13:$H$166,6,0)</f>
        <v>5000000</v>
      </c>
      <c r="E35" s="34">
        <f t="shared" si="10"/>
        <v>400000</v>
      </c>
      <c r="F35" s="34">
        <f t="shared" si="11"/>
        <v>75000</v>
      </c>
      <c r="G35" s="34">
        <f t="shared" si="12"/>
        <v>50000</v>
      </c>
      <c r="H35" s="34">
        <f t="shared" si="28"/>
        <v>525000</v>
      </c>
      <c r="I35" s="34">
        <f t="shared" si="13"/>
        <v>875000</v>
      </c>
      <c r="J35" s="34">
        <f t="shared" si="14"/>
        <v>150000</v>
      </c>
      <c r="K35" s="34">
        <f t="shared" si="15"/>
        <v>50000</v>
      </c>
      <c r="L35" s="34">
        <f t="shared" si="29"/>
        <v>1075000</v>
      </c>
      <c r="M35" s="27"/>
      <c r="N35" s="34">
        <f t="shared" si="30"/>
        <v>50000</v>
      </c>
      <c r="O35" s="34">
        <f t="shared" si="31"/>
        <v>100000</v>
      </c>
      <c r="P35" s="34"/>
      <c r="Q35" s="98"/>
      <c r="R35" s="92"/>
      <c r="S35"/>
      <c r="T35" s="92"/>
      <c r="U35" s="92"/>
    </row>
    <row r="36" spans="1:21" s="19" customFormat="1" ht="36.75" customHeight="1" x14ac:dyDescent="0.25">
      <c r="A36" s="96">
        <v>24</v>
      </c>
      <c r="B36" s="172" t="s">
        <v>89</v>
      </c>
      <c r="C36" s="42" t="s">
        <v>87</v>
      </c>
      <c r="D36" s="34">
        <f>+VLOOKUP(B36,'BẢNG LƯƠNG T08.2024'!$B$13:$H$166,6,0)</f>
        <v>5000000</v>
      </c>
      <c r="E36" s="34">
        <f t="shared" si="10"/>
        <v>400000</v>
      </c>
      <c r="F36" s="34">
        <f t="shared" si="11"/>
        <v>75000</v>
      </c>
      <c r="G36" s="34">
        <f t="shared" si="12"/>
        <v>50000</v>
      </c>
      <c r="H36" s="34">
        <f t="shared" si="28"/>
        <v>525000</v>
      </c>
      <c r="I36" s="34">
        <f t="shared" si="13"/>
        <v>875000</v>
      </c>
      <c r="J36" s="34">
        <f t="shared" si="14"/>
        <v>150000</v>
      </c>
      <c r="K36" s="34">
        <f t="shared" si="15"/>
        <v>50000</v>
      </c>
      <c r="L36" s="34">
        <f t="shared" si="29"/>
        <v>1075000</v>
      </c>
      <c r="M36" s="27"/>
      <c r="N36" s="34">
        <f t="shared" si="30"/>
        <v>50000</v>
      </c>
      <c r="O36" s="34">
        <f t="shared" si="31"/>
        <v>100000</v>
      </c>
      <c r="P36" s="34"/>
      <c r="Q36" s="98"/>
      <c r="R36" s="92"/>
      <c r="S36"/>
      <c r="T36" s="92"/>
      <c r="U36" s="92"/>
    </row>
    <row r="37" spans="1:21" s="19" customFormat="1" ht="36.75" customHeight="1" x14ac:dyDescent="0.25">
      <c r="A37" s="96">
        <v>25</v>
      </c>
      <c r="B37" s="172" t="s">
        <v>91</v>
      </c>
      <c r="C37" s="42" t="s">
        <v>87</v>
      </c>
      <c r="D37" s="34">
        <f>+VLOOKUP(B37,'BẢNG LƯƠNG T08.2024'!$B$13:$H$166,6,0)</f>
        <v>5000000</v>
      </c>
      <c r="E37" s="34">
        <f t="shared" si="10"/>
        <v>400000</v>
      </c>
      <c r="F37" s="34">
        <f t="shared" si="11"/>
        <v>75000</v>
      </c>
      <c r="G37" s="34">
        <f t="shared" si="12"/>
        <v>50000</v>
      </c>
      <c r="H37" s="34">
        <f t="shared" si="28"/>
        <v>525000</v>
      </c>
      <c r="I37" s="34">
        <f t="shared" si="13"/>
        <v>875000</v>
      </c>
      <c r="J37" s="34">
        <f t="shared" si="14"/>
        <v>150000</v>
      </c>
      <c r="K37" s="34">
        <f t="shared" si="15"/>
        <v>50000</v>
      </c>
      <c r="L37" s="34">
        <f t="shared" si="29"/>
        <v>1075000</v>
      </c>
      <c r="M37" s="27"/>
      <c r="N37" s="34">
        <f t="shared" si="30"/>
        <v>50000</v>
      </c>
      <c r="O37" s="34">
        <f t="shared" si="31"/>
        <v>100000</v>
      </c>
      <c r="P37" s="34"/>
      <c r="Q37" s="98"/>
      <c r="R37" s="92"/>
      <c r="S37"/>
      <c r="T37" s="92"/>
      <c r="U37" s="92"/>
    </row>
    <row r="38" spans="1:21" s="19" customFormat="1" ht="36.75" customHeight="1" x14ac:dyDescent="0.25">
      <c r="A38" s="96">
        <v>26</v>
      </c>
      <c r="B38" s="172" t="s">
        <v>95</v>
      </c>
      <c r="C38" s="42" t="s">
        <v>87</v>
      </c>
      <c r="D38" s="34">
        <f>+VLOOKUP(B38,'BẢNG LƯƠNG T08.2024'!$B$13:$H$166,6,0)</f>
        <v>3900000</v>
      </c>
      <c r="E38" s="34">
        <f t="shared" si="10"/>
        <v>312000</v>
      </c>
      <c r="F38" s="34">
        <f t="shared" si="11"/>
        <v>58500</v>
      </c>
      <c r="G38" s="34">
        <f t="shared" si="12"/>
        <v>39000</v>
      </c>
      <c r="H38" s="34">
        <f t="shared" si="28"/>
        <v>409500</v>
      </c>
      <c r="I38" s="34">
        <f t="shared" si="13"/>
        <v>682500</v>
      </c>
      <c r="J38" s="34">
        <f t="shared" si="14"/>
        <v>117000</v>
      </c>
      <c r="K38" s="34">
        <f t="shared" si="15"/>
        <v>39000</v>
      </c>
      <c r="L38" s="34">
        <f t="shared" si="29"/>
        <v>838500</v>
      </c>
      <c r="M38" s="27"/>
      <c r="N38" s="34">
        <f t="shared" si="30"/>
        <v>39000</v>
      </c>
      <c r="O38" s="34">
        <f t="shared" si="31"/>
        <v>78000</v>
      </c>
      <c r="P38" s="34"/>
      <c r="Q38" s="98"/>
      <c r="R38" s="92"/>
      <c r="S38"/>
      <c r="T38" s="92"/>
      <c r="U38" s="92"/>
    </row>
    <row r="39" spans="1:21" s="19" customFormat="1" ht="36.75" customHeight="1" x14ac:dyDescent="0.25">
      <c r="A39" s="96">
        <v>27</v>
      </c>
      <c r="B39" s="172" t="s">
        <v>97</v>
      </c>
      <c r="C39" s="42" t="s">
        <v>87</v>
      </c>
      <c r="D39" s="34">
        <f>+VLOOKUP(B39,'BẢNG LƯƠNG T08.2024'!$B$13:$H$166,6,0)</f>
        <v>3900000</v>
      </c>
      <c r="E39" s="34">
        <f t="shared" si="10"/>
        <v>312000</v>
      </c>
      <c r="F39" s="34">
        <f t="shared" si="11"/>
        <v>58500</v>
      </c>
      <c r="G39" s="34">
        <f t="shared" si="12"/>
        <v>39000</v>
      </c>
      <c r="H39" s="34">
        <f t="shared" si="28"/>
        <v>409500</v>
      </c>
      <c r="I39" s="34">
        <f t="shared" si="13"/>
        <v>682500</v>
      </c>
      <c r="J39" s="34">
        <f t="shared" si="14"/>
        <v>117000</v>
      </c>
      <c r="K39" s="34">
        <f t="shared" si="15"/>
        <v>39000</v>
      </c>
      <c r="L39" s="34">
        <f t="shared" si="29"/>
        <v>838500</v>
      </c>
      <c r="M39" s="27"/>
      <c r="N39" s="34">
        <f t="shared" si="30"/>
        <v>39000</v>
      </c>
      <c r="O39" s="34">
        <f t="shared" si="31"/>
        <v>78000</v>
      </c>
      <c r="P39" s="34"/>
      <c r="Q39" s="98"/>
      <c r="R39" s="92"/>
      <c r="S39"/>
      <c r="T39" s="92"/>
      <c r="U39" s="92"/>
    </row>
    <row r="40" spans="1:21" s="19" customFormat="1" ht="36.75" customHeight="1" x14ac:dyDescent="0.25">
      <c r="A40" s="96">
        <v>28</v>
      </c>
      <c r="B40" s="172" t="s">
        <v>99</v>
      </c>
      <c r="C40" s="42" t="s">
        <v>87</v>
      </c>
      <c r="D40" s="34">
        <f>+VLOOKUP(B40,'BẢNG LƯƠNG T08.2024'!$B$13:$H$166,6,0)</f>
        <v>3900000</v>
      </c>
      <c r="E40" s="34">
        <f t="shared" si="10"/>
        <v>312000</v>
      </c>
      <c r="F40" s="34">
        <f t="shared" si="11"/>
        <v>58500</v>
      </c>
      <c r="G40" s="34">
        <f t="shared" si="12"/>
        <v>39000</v>
      </c>
      <c r="H40" s="34">
        <f t="shared" si="28"/>
        <v>409500</v>
      </c>
      <c r="I40" s="34">
        <f t="shared" si="13"/>
        <v>682500</v>
      </c>
      <c r="J40" s="34">
        <f t="shared" si="14"/>
        <v>117000</v>
      </c>
      <c r="K40" s="34">
        <f t="shared" si="15"/>
        <v>39000</v>
      </c>
      <c r="L40" s="34">
        <f t="shared" si="29"/>
        <v>838500</v>
      </c>
      <c r="M40" s="27"/>
      <c r="N40" s="34">
        <f t="shared" si="30"/>
        <v>39000</v>
      </c>
      <c r="O40" s="34">
        <f t="shared" si="31"/>
        <v>78000</v>
      </c>
      <c r="P40" s="34"/>
      <c r="Q40" s="98"/>
      <c r="R40" s="92"/>
      <c r="S40"/>
      <c r="T40" s="92"/>
      <c r="U40" s="92"/>
    </row>
    <row r="41" spans="1:21" s="19" customFormat="1" ht="36.75" customHeight="1" x14ac:dyDescent="0.25">
      <c r="A41" s="96">
        <v>29</v>
      </c>
      <c r="B41" s="172" t="s">
        <v>101</v>
      </c>
      <c r="C41" s="42" t="s">
        <v>87</v>
      </c>
      <c r="D41" s="34">
        <f>+VLOOKUP(B41,'BẢNG LƯƠNG T08.2024'!$B$13:$H$166,6,0)</f>
        <v>3900000</v>
      </c>
      <c r="E41" s="34">
        <f t="shared" si="10"/>
        <v>312000</v>
      </c>
      <c r="F41" s="34">
        <f t="shared" si="11"/>
        <v>58500</v>
      </c>
      <c r="G41" s="34">
        <f t="shared" si="12"/>
        <v>39000</v>
      </c>
      <c r="H41" s="34">
        <f t="shared" si="28"/>
        <v>409500</v>
      </c>
      <c r="I41" s="34">
        <f t="shared" si="13"/>
        <v>682500</v>
      </c>
      <c r="J41" s="34">
        <f t="shared" si="14"/>
        <v>117000</v>
      </c>
      <c r="K41" s="34">
        <f t="shared" si="15"/>
        <v>39000</v>
      </c>
      <c r="L41" s="34">
        <f t="shared" si="29"/>
        <v>838500</v>
      </c>
      <c r="M41" s="27"/>
      <c r="N41" s="34">
        <f t="shared" si="30"/>
        <v>39000</v>
      </c>
      <c r="O41" s="34">
        <f t="shared" si="31"/>
        <v>78000</v>
      </c>
      <c r="P41" s="34"/>
      <c r="Q41" s="98"/>
      <c r="R41" s="92"/>
      <c r="S41"/>
      <c r="T41" s="92"/>
      <c r="U41" s="92"/>
    </row>
    <row r="42" spans="1:21" s="19" customFormat="1" ht="36.75" customHeight="1" x14ac:dyDescent="0.25">
      <c r="A42" s="96">
        <v>30</v>
      </c>
      <c r="B42" s="172" t="s">
        <v>103</v>
      </c>
      <c r="C42" s="42" t="s">
        <v>87</v>
      </c>
      <c r="D42" s="34">
        <f>+VLOOKUP(B42,'BẢNG LƯƠNG T08.2024'!$B$13:$H$166,6,0)</f>
        <v>3900000</v>
      </c>
      <c r="E42" s="34">
        <f t="shared" si="10"/>
        <v>312000</v>
      </c>
      <c r="F42" s="34">
        <f t="shared" si="11"/>
        <v>58500</v>
      </c>
      <c r="G42" s="34">
        <f t="shared" si="12"/>
        <v>39000</v>
      </c>
      <c r="H42" s="34">
        <f t="shared" si="28"/>
        <v>409500</v>
      </c>
      <c r="I42" s="34">
        <f t="shared" si="13"/>
        <v>682500</v>
      </c>
      <c r="J42" s="34">
        <f t="shared" si="14"/>
        <v>117000</v>
      </c>
      <c r="K42" s="34">
        <f t="shared" si="15"/>
        <v>39000</v>
      </c>
      <c r="L42" s="34">
        <f t="shared" si="29"/>
        <v>838500</v>
      </c>
      <c r="M42" s="27"/>
      <c r="N42" s="34">
        <f t="shared" si="30"/>
        <v>39000</v>
      </c>
      <c r="O42" s="34">
        <f t="shared" si="31"/>
        <v>78000</v>
      </c>
      <c r="P42" s="34"/>
      <c r="Q42" s="98"/>
      <c r="R42" s="92"/>
      <c r="S42"/>
      <c r="T42" s="92"/>
      <c r="U42" s="92"/>
    </row>
    <row r="43" spans="1:21" s="19" customFormat="1" ht="36.75" customHeight="1" x14ac:dyDescent="0.25">
      <c r="A43" s="96">
        <v>31</v>
      </c>
      <c r="B43" s="172" t="s">
        <v>105</v>
      </c>
      <c r="C43" s="42" t="s">
        <v>87</v>
      </c>
      <c r="D43" s="34">
        <f>+VLOOKUP(B43,'BẢNG LƯƠNG T08.2024'!$B$13:$H$166,6,0)</f>
        <v>5000000</v>
      </c>
      <c r="E43" s="34">
        <f t="shared" si="10"/>
        <v>400000</v>
      </c>
      <c r="F43" s="34">
        <f t="shared" si="11"/>
        <v>75000</v>
      </c>
      <c r="G43" s="34">
        <f t="shared" si="12"/>
        <v>50000</v>
      </c>
      <c r="H43" s="34">
        <f t="shared" si="28"/>
        <v>525000</v>
      </c>
      <c r="I43" s="34">
        <f t="shared" si="13"/>
        <v>875000</v>
      </c>
      <c r="J43" s="34">
        <f t="shared" si="14"/>
        <v>150000</v>
      </c>
      <c r="K43" s="34">
        <f t="shared" si="15"/>
        <v>50000</v>
      </c>
      <c r="L43" s="34">
        <f t="shared" si="29"/>
        <v>1075000</v>
      </c>
      <c r="M43" s="27"/>
      <c r="N43" s="34">
        <f t="shared" si="30"/>
        <v>50000</v>
      </c>
      <c r="O43" s="34">
        <f t="shared" si="31"/>
        <v>100000</v>
      </c>
      <c r="P43" s="34"/>
      <c r="Q43" s="98"/>
      <c r="R43" s="92"/>
      <c r="S43"/>
      <c r="T43" s="92"/>
      <c r="U43" s="92"/>
    </row>
    <row r="44" spans="1:21" s="19" customFormat="1" ht="36.75" customHeight="1" x14ac:dyDescent="0.25">
      <c r="A44" s="96">
        <v>32</v>
      </c>
      <c r="B44" s="172" t="s">
        <v>107</v>
      </c>
      <c r="C44" s="42" t="s">
        <v>87</v>
      </c>
      <c r="D44" s="34">
        <f>+VLOOKUP(B44,'BẢNG LƯƠNG T08.2024'!$B$13:$H$166,6,0)</f>
        <v>3900000</v>
      </c>
      <c r="E44" s="34">
        <f t="shared" si="10"/>
        <v>312000</v>
      </c>
      <c r="F44" s="34">
        <f t="shared" si="11"/>
        <v>58500</v>
      </c>
      <c r="G44" s="34">
        <f t="shared" si="12"/>
        <v>39000</v>
      </c>
      <c r="H44" s="34">
        <f t="shared" si="28"/>
        <v>409500</v>
      </c>
      <c r="I44" s="34">
        <f t="shared" si="13"/>
        <v>682500</v>
      </c>
      <c r="J44" s="34">
        <f t="shared" si="14"/>
        <v>117000</v>
      </c>
      <c r="K44" s="34">
        <f t="shared" si="15"/>
        <v>39000</v>
      </c>
      <c r="L44" s="34">
        <f t="shared" si="29"/>
        <v>838500</v>
      </c>
      <c r="M44" s="27"/>
      <c r="N44" s="34">
        <f t="shared" si="30"/>
        <v>39000</v>
      </c>
      <c r="O44" s="34">
        <f t="shared" si="31"/>
        <v>78000</v>
      </c>
      <c r="P44" s="34"/>
      <c r="Q44" s="98"/>
      <c r="R44" s="92"/>
      <c r="S44"/>
      <c r="T44" s="92"/>
      <c r="U44" s="92"/>
    </row>
    <row r="45" spans="1:21" s="19" customFormat="1" ht="36.75" customHeight="1" x14ac:dyDescent="0.25">
      <c r="A45" s="96">
        <v>33</v>
      </c>
      <c r="B45" s="172" t="s">
        <v>109</v>
      </c>
      <c r="C45" s="42" t="s">
        <v>87</v>
      </c>
      <c r="D45" s="34">
        <f>+VLOOKUP(B45,'BẢNG LƯƠNG T08.2024'!$B$13:$H$166,6,0)</f>
        <v>3900000</v>
      </c>
      <c r="E45" s="34">
        <f t="shared" si="10"/>
        <v>312000</v>
      </c>
      <c r="F45" s="34">
        <f t="shared" si="11"/>
        <v>58500</v>
      </c>
      <c r="G45" s="34">
        <f t="shared" si="12"/>
        <v>39000</v>
      </c>
      <c r="H45" s="34">
        <f t="shared" si="28"/>
        <v>409500</v>
      </c>
      <c r="I45" s="34">
        <f t="shared" si="13"/>
        <v>682500</v>
      </c>
      <c r="J45" s="34">
        <f t="shared" si="14"/>
        <v>117000</v>
      </c>
      <c r="K45" s="34">
        <f t="shared" si="15"/>
        <v>39000</v>
      </c>
      <c r="L45" s="34">
        <f t="shared" si="29"/>
        <v>838500</v>
      </c>
      <c r="M45" s="27"/>
      <c r="N45" s="34">
        <f t="shared" si="30"/>
        <v>39000</v>
      </c>
      <c r="O45" s="34">
        <f t="shared" si="31"/>
        <v>78000</v>
      </c>
      <c r="P45" s="34"/>
      <c r="Q45" s="98"/>
      <c r="R45" s="92"/>
      <c r="S45"/>
      <c r="T45" s="92"/>
      <c r="U45" s="92"/>
    </row>
    <row r="46" spans="1:21" s="19" customFormat="1" ht="36.75" customHeight="1" x14ac:dyDescent="0.25">
      <c r="A46" s="96">
        <v>34</v>
      </c>
      <c r="B46" s="172" t="s">
        <v>111</v>
      </c>
      <c r="C46" s="42" t="s">
        <v>87</v>
      </c>
      <c r="D46" s="34">
        <f>+VLOOKUP(B46,'BẢNG LƯƠNG T08.2024'!$B$13:$H$166,6,0)</f>
        <v>3900000</v>
      </c>
      <c r="E46" s="34">
        <f t="shared" si="10"/>
        <v>312000</v>
      </c>
      <c r="F46" s="34">
        <f t="shared" si="11"/>
        <v>58500</v>
      </c>
      <c r="G46" s="34">
        <f t="shared" si="12"/>
        <v>39000</v>
      </c>
      <c r="H46" s="34">
        <f t="shared" si="28"/>
        <v>409500</v>
      </c>
      <c r="I46" s="34">
        <f t="shared" si="13"/>
        <v>682500</v>
      </c>
      <c r="J46" s="34">
        <f t="shared" si="14"/>
        <v>117000</v>
      </c>
      <c r="K46" s="34">
        <f t="shared" si="15"/>
        <v>39000</v>
      </c>
      <c r="L46" s="34">
        <f t="shared" si="29"/>
        <v>838500</v>
      </c>
      <c r="M46" s="27"/>
      <c r="N46" s="34">
        <f t="shared" si="30"/>
        <v>39000</v>
      </c>
      <c r="O46" s="34">
        <f t="shared" si="31"/>
        <v>78000</v>
      </c>
      <c r="P46" s="34"/>
      <c r="Q46" s="98"/>
      <c r="R46" s="92"/>
      <c r="S46"/>
      <c r="T46" s="92"/>
      <c r="U46" s="92"/>
    </row>
    <row r="47" spans="1:21" s="19" customFormat="1" ht="36.75" customHeight="1" x14ac:dyDescent="0.25">
      <c r="A47" s="96">
        <v>35</v>
      </c>
      <c r="B47" s="172" t="s">
        <v>113</v>
      </c>
      <c r="C47" s="42" t="s">
        <v>87</v>
      </c>
      <c r="D47" s="34">
        <f>+VLOOKUP(B47,'BẢNG LƯƠNG T08.2024'!$B$13:$H$166,6,0)</f>
        <v>3900000</v>
      </c>
      <c r="E47" s="34">
        <f t="shared" si="10"/>
        <v>312000</v>
      </c>
      <c r="F47" s="34">
        <f t="shared" si="11"/>
        <v>58500</v>
      </c>
      <c r="G47" s="34">
        <f t="shared" si="12"/>
        <v>39000</v>
      </c>
      <c r="H47" s="34">
        <f t="shared" si="28"/>
        <v>409500</v>
      </c>
      <c r="I47" s="34">
        <f t="shared" si="13"/>
        <v>682500</v>
      </c>
      <c r="J47" s="34">
        <f t="shared" si="14"/>
        <v>117000</v>
      </c>
      <c r="K47" s="34">
        <f t="shared" si="15"/>
        <v>39000</v>
      </c>
      <c r="L47" s="34">
        <f t="shared" si="29"/>
        <v>838500</v>
      </c>
      <c r="M47" s="27"/>
      <c r="N47" s="34">
        <f t="shared" si="30"/>
        <v>39000</v>
      </c>
      <c r="O47" s="34">
        <f t="shared" si="31"/>
        <v>78000</v>
      </c>
      <c r="P47" s="34"/>
      <c r="Q47" s="98"/>
      <c r="R47" s="92"/>
      <c r="S47"/>
      <c r="T47" s="92"/>
      <c r="U47" s="92"/>
    </row>
    <row r="48" spans="1:21" s="19" customFormat="1" ht="36.75" customHeight="1" x14ac:dyDescent="0.25">
      <c r="A48" s="96">
        <v>36</v>
      </c>
      <c r="B48" s="172" t="s">
        <v>115</v>
      </c>
      <c r="C48" s="42" t="s">
        <v>87</v>
      </c>
      <c r="D48" s="34">
        <f>+VLOOKUP(B48,'BẢNG LƯƠNG T08.2024'!$B$13:$H$166,6,0)</f>
        <v>3900000</v>
      </c>
      <c r="E48" s="34">
        <f t="shared" si="10"/>
        <v>312000</v>
      </c>
      <c r="F48" s="34">
        <f t="shared" si="11"/>
        <v>58500</v>
      </c>
      <c r="G48" s="34">
        <f t="shared" si="12"/>
        <v>39000</v>
      </c>
      <c r="H48" s="34">
        <f t="shared" si="28"/>
        <v>409500</v>
      </c>
      <c r="I48" s="34">
        <f t="shared" si="13"/>
        <v>682500</v>
      </c>
      <c r="J48" s="34">
        <f t="shared" si="14"/>
        <v>117000</v>
      </c>
      <c r="K48" s="34">
        <f t="shared" si="15"/>
        <v>39000</v>
      </c>
      <c r="L48" s="34">
        <f t="shared" si="29"/>
        <v>838500</v>
      </c>
      <c r="M48" s="27"/>
      <c r="N48" s="34">
        <f t="shared" si="30"/>
        <v>39000</v>
      </c>
      <c r="O48" s="34">
        <f t="shared" si="31"/>
        <v>78000</v>
      </c>
      <c r="P48" s="34"/>
      <c r="Q48" s="98"/>
      <c r="R48" s="92"/>
      <c r="S48"/>
      <c r="T48" s="92"/>
      <c r="U48" s="92"/>
    </row>
    <row r="49" spans="1:21" s="19" customFormat="1" ht="36.75" customHeight="1" x14ac:dyDescent="0.25">
      <c r="A49" s="96">
        <v>37</v>
      </c>
      <c r="B49" s="172" t="s">
        <v>117</v>
      </c>
      <c r="C49" s="42" t="s">
        <v>87</v>
      </c>
      <c r="D49" s="34">
        <f>+VLOOKUP(B49,'BẢNG LƯƠNG T08.2024'!$B$13:$H$166,6,0)</f>
        <v>3900000</v>
      </c>
      <c r="E49" s="34">
        <f t="shared" si="10"/>
        <v>312000</v>
      </c>
      <c r="F49" s="34">
        <f t="shared" si="11"/>
        <v>58500</v>
      </c>
      <c r="G49" s="34">
        <f t="shared" si="12"/>
        <v>39000</v>
      </c>
      <c r="H49" s="34">
        <f t="shared" si="28"/>
        <v>409500</v>
      </c>
      <c r="I49" s="34">
        <f t="shared" si="13"/>
        <v>682500</v>
      </c>
      <c r="J49" s="34">
        <f t="shared" si="14"/>
        <v>117000</v>
      </c>
      <c r="K49" s="34">
        <f t="shared" si="15"/>
        <v>39000</v>
      </c>
      <c r="L49" s="34">
        <f t="shared" si="29"/>
        <v>838500</v>
      </c>
      <c r="M49" s="27"/>
      <c r="N49" s="34">
        <f t="shared" si="30"/>
        <v>39000</v>
      </c>
      <c r="O49" s="34">
        <f t="shared" si="31"/>
        <v>78000</v>
      </c>
      <c r="P49" s="34"/>
      <c r="Q49" s="98"/>
      <c r="R49" s="92"/>
      <c r="S49"/>
      <c r="T49" s="92"/>
      <c r="U49" s="92"/>
    </row>
    <row r="50" spans="1:21" s="19" customFormat="1" ht="36.75" customHeight="1" x14ac:dyDescent="0.25">
      <c r="A50" s="96">
        <v>38</v>
      </c>
      <c r="B50" s="172" t="s">
        <v>119</v>
      </c>
      <c r="C50" s="42" t="s">
        <v>87</v>
      </c>
      <c r="D50" s="34">
        <f>+VLOOKUP(B50,'BẢNG LƯƠNG T08.2024'!$B$13:$H$166,6,0)</f>
        <v>3900000</v>
      </c>
      <c r="E50" s="34">
        <f t="shared" si="10"/>
        <v>312000</v>
      </c>
      <c r="F50" s="34">
        <f t="shared" si="11"/>
        <v>58500</v>
      </c>
      <c r="G50" s="34">
        <f t="shared" si="12"/>
        <v>39000</v>
      </c>
      <c r="H50" s="34">
        <f t="shared" si="28"/>
        <v>409500</v>
      </c>
      <c r="I50" s="34">
        <f t="shared" si="13"/>
        <v>682500</v>
      </c>
      <c r="J50" s="34">
        <f t="shared" si="14"/>
        <v>117000</v>
      </c>
      <c r="K50" s="34">
        <f t="shared" si="15"/>
        <v>39000</v>
      </c>
      <c r="L50" s="34">
        <f t="shared" si="29"/>
        <v>838500</v>
      </c>
      <c r="M50" s="27"/>
      <c r="N50" s="34">
        <f t="shared" si="30"/>
        <v>39000</v>
      </c>
      <c r="O50" s="34">
        <f t="shared" si="31"/>
        <v>78000</v>
      </c>
      <c r="P50" s="34"/>
      <c r="Q50" s="98"/>
      <c r="R50" s="92"/>
      <c r="S50"/>
      <c r="T50" s="92"/>
      <c r="U50" s="92"/>
    </row>
    <row r="51" spans="1:21" s="19" customFormat="1" ht="36.75" customHeight="1" x14ac:dyDescent="0.25">
      <c r="A51" s="96">
        <v>39</v>
      </c>
      <c r="B51" s="172" t="s">
        <v>121</v>
      </c>
      <c r="C51" s="42" t="s">
        <v>87</v>
      </c>
      <c r="D51" s="34">
        <f>+VLOOKUP(B51,'BẢNG LƯƠNG T08.2024'!$B$13:$H$166,6,0)</f>
        <v>3900000</v>
      </c>
      <c r="E51" s="34">
        <f t="shared" si="10"/>
        <v>312000</v>
      </c>
      <c r="F51" s="34">
        <f t="shared" si="11"/>
        <v>58500</v>
      </c>
      <c r="G51" s="34">
        <f t="shared" si="12"/>
        <v>39000</v>
      </c>
      <c r="H51" s="34">
        <f t="shared" si="28"/>
        <v>409500</v>
      </c>
      <c r="I51" s="34">
        <f t="shared" si="13"/>
        <v>682500</v>
      </c>
      <c r="J51" s="34">
        <f t="shared" si="14"/>
        <v>117000</v>
      </c>
      <c r="K51" s="34">
        <f t="shared" si="15"/>
        <v>39000</v>
      </c>
      <c r="L51" s="34">
        <f t="shared" si="29"/>
        <v>838500</v>
      </c>
      <c r="M51" s="27"/>
      <c r="N51" s="34">
        <f t="shared" si="30"/>
        <v>39000</v>
      </c>
      <c r="O51" s="34">
        <f t="shared" si="31"/>
        <v>78000</v>
      </c>
      <c r="P51" s="34"/>
      <c r="Q51" s="98"/>
      <c r="R51" s="92"/>
      <c r="S51"/>
      <c r="T51" s="92"/>
      <c r="U51" s="92"/>
    </row>
    <row r="52" spans="1:21" s="19" customFormat="1" ht="36.75" customHeight="1" x14ac:dyDescent="0.25">
      <c r="A52" s="96">
        <v>40</v>
      </c>
      <c r="B52" s="172" t="s">
        <v>123</v>
      </c>
      <c r="C52" s="42" t="s">
        <v>87</v>
      </c>
      <c r="D52" s="34">
        <f>+VLOOKUP(B52,'BẢNG LƯƠNG T08.2024'!$B$13:$H$166,6,0)</f>
        <v>3900000</v>
      </c>
      <c r="E52" s="34">
        <f t="shared" si="10"/>
        <v>312000</v>
      </c>
      <c r="F52" s="34">
        <f t="shared" si="11"/>
        <v>58500</v>
      </c>
      <c r="G52" s="34">
        <f t="shared" si="12"/>
        <v>39000</v>
      </c>
      <c r="H52" s="34">
        <f t="shared" si="28"/>
        <v>409500</v>
      </c>
      <c r="I52" s="34">
        <f t="shared" si="13"/>
        <v>682500</v>
      </c>
      <c r="J52" s="34">
        <f t="shared" si="14"/>
        <v>117000</v>
      </c>
      <c r="K52" s="34">
        <f t="shared" si="15"/>
        <v>39000</v>
      </c>
      <c r="L52" s="34">
        <f t="shared" si="29"/>
        <v>838500</v>
      </c>
      <c r="M52" s="27"/>
      <c r="N52" s="34">
        <f t="shared" si="30"/>
        <v>39000</v>
      </c>
      <c r="O52" s="34">
        <f t="shared" si="31"/>
        <v>78000</v>
      </c>
      <c r="P52" s="34"/>
      <c r="Q52" s="98"/>
      <c r="R52" s="92"/>
      <c r="S52"/>
      <c r="T52" s="92"/>
      <c r="U52" s="92"/>
    </row>
    <row r="53" spans="1:21" s="19" customFormat="1" ht="36.75" customHeight="1" x14ac:dyDescent="0.25">
      <c r="A53" s="96">
        <v>41</v>
      </c>
      <c r="B53" s="172" t="s">
        <v>352</v>
      </c>
      <c r="C53" s="42" t="s">
        <v>87</v>
      </c>
      <c r="D53" s="34">
        <f>+VLOOKUP(B53,'BẢNG LƯƠNG T08.2024'!$B$13:$H$166,6,0)</f>
        <v>3900000</v>
      </c>
      <c r="E53" s="34">
        <f t="shared" si="10"/>
        <v>312000</v>
      </c>
      <c r="F53" s="34">
        <f t="shared" si="11"/>
        <v>58500</v>
      </c>
      <c r="G53" s="34">
        <f t="shared" si="12"/>
        <v>39000</v>
      </c>
      <c r="H53" s="34">
        <f t="shared" si="28"/>
        <v>409500</v>
      </c>
      <c r="I53" s="34">
        <f t="shared" si="13"/>
        <v>682500</v>
      </c>
      <c r="J53" s="34">
        <f t="shared" si="14"/>
        <v>117000</v>
      </c>
      <c r="K53" s="34">
        <f t="shared" si="15"/>
        <v>39000</v>
      </c>
      <c r="L53" s="34">
        <f t="shared" si="29"/>
        <v>838500</v>
      </c>
      <c r="M53" s="27"/>
      <c r="N53" s="34">
        <f t="shared" si="30"/>
        <v>39000</v>
      </c>
      <c r="O53" s="34">
        <f t="shared" si="31"/>
        <v>78000</v>
      </c>
      <c r="P53" s="34"/>
      <c r="Q53" s="98"/>
      <c r="R53" s="92"/>
      <c r="S53"/>
      <c r="T53" s="92"/>
      <c r="U53" s="92"/>
    </row>
    <row r="54" spans="1:21" s="19" customFormat="1" ht="36.75" customHeight="1" x14ac:dyDescent="0.25">
      <c r="A54" s="96">
        <v>42</v>
      </c>
      <c r="B54" s="172" t="s">
        <v>125</v>
      </c>
      <c r="C54" s="42" t="s">
        <v>276</v>
      </c>
      <c r="D54" s="34">
        <f>+VLOOKUP(B54,'BẢNG LƯƠNG T08.2024'!$B$13:$H$166,6,0)</f>
        <v>5000000</v>
      </c>
      <c r="E54" s="34">
        <f t="shared" si="10"/>
        <v>400000</v>
      </c>
      <c r="F54" s="34">
        <f t="shared" si="11"/>
        <v>75000</v>
      </c>
      <c r="G54" s="34">
        <f t="shared" si="12"/>
        <v>50000</v>
      </c>
      <c r="H54" s="34">
        <f t="shared" si="28"/>
        <v>525000</v>
      </c>
      <c r="I54" s="34">
        <f t="shared" si="13"/>
        <v>875000</v>
      </c>
      <c r="J54" s="34">
        <f t="shared" si="14"/>
        <v>150000</v>
      </c>
      <c r="K54" s="34">
        <f t="shared" si="15"/>
        <v>50000</v>
      </c>
      <c r="L54" s="34">
        <f t="shared" si="29"/>
        <v>1075000</v>
      </c>
      <c r="M54" s="27"/>
      <c r="N54" s="34">
        <f t="shared" si="30"/>
        <v>50000</v>
      </c>
      <c r="O54" s="34">
        <f t="shared" si="31"/>
        <v>100000</v>
      </c>
      <c r="P54" s="34"/>
      <c r="Q54" s="98"/>
      <c r="R54" s="92"/>
      <c r="S54"/>
      <c r="T54" s="92"/>
      <c r="U54" s="92"/>
    </row>
    <row r="55" spans="1:21" s="19" customFormat="1" ht="36.75" customHeight="1" x14ac:dyDescent="0.25">
      <c r="A55" s="96">
        <v>43</v>
      </c>
      <c r="B55" s="172" t="s">
        <v>129</v>
      </c>
      <c r="C55" s="42" t="s">
        <v>128</v>
      </c>
      <c r="D55" s="34">
        <f>+VLOOKUP(B55,'BẢNG LƯƠNG T08.2024'!$B$13:$H$166,6,0)</f>
        <v>5000000</v>
      </c>
      <c r="E55" s="34">
        <f t="shared" si="10"/>
        <v>400000</v>
      </c>
      <c r="F55" s="34">
        <f t="shared" si="11"/>
        <v>75000</v>
      </c>
      <c r="G55" s="34">
        <f t="shared" si="12"/>
        <v>50000</v>
      </c>
      <c r="H55" s="34">
        <f t="shared" si="28"/>
        <v>525000</v>
      </c>
      <c r="I55" s="34">
        <f t="shared" si="13"/>
        <v>875000</v>
      </c>
      <c r="J55" s="34">
        <f t="shared" si="14"/>
        <v>150000</v>
      </c>
      <c r="K55" s="34">
        <f t="shared" si="15"/>
        <v>50000</v>
      </c>
      <c r="L55" s="34">
        <f t="shared" si="29"/>
        <v>1075000</v>
      </c>
      <c r="M55" s="27"/>
      <c r="N55" s="34">
        <f t="shared" si="30"/>
        <v>50000</v>
      </c>
      <c r="O55" s="34">
        <f t="shared" si="31"/>
        <v>100000</v>
      </c>
      <c r="P55" s="34"/>
      <c r="Q55" s="98"/>
      <c r="R55" s="92"/>
      <c r="S55"/>
      <c r="T55" s="92"/>
      <c r="U55" s="92"/>
    </row>
    <row r="56" spans="1:21" s="19" customFormat="1" ht="36.75" customHeight="1" x14ac:dyDescent="0.25">
      <c r="A56" s="96">
        <v>44</v>
      </c>
      <c r="B56" s="172" t="s">
        <v>131</v>
      </c>
      <c r="C56" s="42" t="s">
        <v>128</v>
      </c>
      <c r="D56" s="34">
        <f>+VLOOKUP(B56,'BẢNG LƯƠNG T08.2024'!$B$13:$H$166,6,0)</f>
        <v>3900000</v>
      </c>
      <c r="E56" s="34">
        <f t="shared" si="10"/>
        <v>312000</v>
      </c>
      <c r="F56" s="34">
        <f t="shared" si="11"/>
        <v>58500</v>
      </c>
      <c r="G56" s="34">
        <f t="shared" si="12"/>
        <v>39000</v>
      </c>
      <c r="H56" s="34">
        <f t="shared" si="28"/>
        <v>409500</v>
      </c>
      <c r="I56" s="34">
        <f t="shared" si="13"/>
        <v>682500</v>
      </c>
      <c r="J56" s="34">
        <f t="shared" si="14"/>
        <v>117000</v>
      </c>
      <c r="K56" s="34">
        <f t="shared" si="15"/>
        <v>39000</v>
      </c>
      <c r="L56" s="34">
        <f t="shared" si="29"/>
        <v>838500</v>
      </c>
      <c r="M56" s="27"/>
      <c r="N56" s="34">
        <f t="shared" si="30"/>
        <v>39000</v>
      </c>
      <c r="O56" s="34">
        <f t="shared" si="31"/>
        <v>78000</v>
      </c>
      <c r="P56" s="34"/>
      <c r="Q56" s="98"/>
      <c r="R56" s="92"/>
      <c r="S56"/>
      <c r="T56" s="92"/>
      <c r="U56" s="92"/>
    </row>
    <row r="57" spans="1:21" s="19" customFormat="1" ht="36.75" customHeight="1" x14ac:dyDescent="0.25">
      <c r="A57" s="96">
        <v>45</v>
      </c>
      <c r="B57" s="172" t="s">
        <v>133</v>
      </c>
      <c r="C57" s="42" t="s">
        <v>128</v>
      </c>
      <c r="D57" s="34">
        <f>+VLOOKUP(B57,'BẢNG LƯƠNG T08.2024'!$B$13:$H$166,6,0)</f>
        <v>3900000</v>
      </c>
      <c r="E57" s="34">
        <f t="shared" si="10"/>
        <v>312000</v>
      </c>
      <c r="F57" s="34">
        <f t="shared" si="11"/>
        <v>58500</v>
      </c>
      <c r="G57" s="34">
        <f t="shared" si="12"/>
        <v>39000</v>
      </c>
      <c r="H57" s="34">
        <f t="shared" si="28"/>
        <v>409500</v>
      </c>
      <c r="I57" s="34">
        <f t="shared" si="13"/>
        <v>682500</v>
      </c>
      <c r="J57" s="34">
        <f t="shared" si="14"/>
        <v>117000</v>
      </c>
      <c r="K57" s="34">
        <f t="shared" si="15"/>
        <v>39000</v>
      </c>
      <c r="L57" s="34">
        <f t="shared" si="29"/>
        <v>838500</v>
      </c>
      <c r="M57" s="27"/>
      <c r="N57" s="34">
        <f t="shared" si="30"/>
        <v>39000</v>
      </c>
      <c r="O57" s="34">
        <f t="shared" si="31"/>
        <v>78000</v>
      </c>
      <c r="P57" s="34"/>
      <c r="Q57" s="98"/>
      <c r="R57" s="92"/>
      <c r="S57"/>
      <c r="T57" s="92"/>
      <c r="U57" s="92"/>
    </row>
    <row r="58" spans="1:21" s="19" customFormat="1" ht="36.75" customHeight="1" x14ac:dyDescent="0.25">
      <c r="A58" s="96">
        <v>46</v>
      </c>
      <c r="B58" s="172" t="s">
        <v>135</v>
      </c>
      <c r="C58" s="42" t="s">
        <v>128</v>
      </c>
      <c r="D58" s="34">
        <f>+VLOOKUP(B58,'BẢNG LƯƠNG T08.2024'!$B$13:$H$166,6,0)</f>
        <v>3900000</v>
      </c>
      <c r="E58" s="34">
        <f t="shared" si="10"/>
        <v>312000</v>
      </c>
      <c r="F58" s="34">
        <f t="shared" si="11"/>
        <v>58500</v>
      </c>
      <c r="G58" s="34">
        <f t="shared" si="12"/>
        <v>39000</v>
      </c>
      <c r="H58" s="34">
        <f t="shared" si="28"/>
        <v>409500</v>
      </c>
      <c r="I58" s="34">
        <f t="shared" si="13"/>
        <v>682500</v>
      </c>
      <c r="J58" s="34">
        <f t="shared" si="14"/>
        <v>117000</v>
      </c>
      <c r="K58" s="34">
        <f t="shared" si="15"/>
        <v>39000</v>
      </c>
      <c r="L58" s="34">
        <f t="shared" si="29"/>
        <v>838500</v>
      </c>
      <c r="M58" s="27"/>
      <c r="N58" s="34">
        <f t="shared" si="30"/>
        <v>39000</v>
      </c>
      <c r="O58" s="34">
        <f t="shared" si="31"/>
        <v>78000</v>
      </c>
      <c r="P58" s="34"/>
      <c r="Q58" s="98"/>
      <c r="R58" s="92"/>
      <c r="S58"/>
      <c r="T58" s="92"/>
      <c r="U58" s="92"/>
    </row>
    <row r="59" spans="1:21" s="19" customFormat="1" ht="36.75" customHeight="1" x14ac:dyDescent="0.25">
      <c r="A59" s="96">
        <v>47</v>
      </c>
      <c r="B59" s="172" t="s">
        <v>137</v>
      </c>
      <c r="C59" s="42" t="s">
        <v>128</v>
      </c>
      <c r="D59" s="34">
        <f>+VLOOKUP(B59,'BẢNG LƯƠNG T08.2024'!$B$13:$H$166,6,0)</f>
        <v>3900000</v>
      </c>
      <c r="E59" s="34">
        <f t="shared" si="10"/>
        <v>312000</v>
      </c>
      <c r="F59" s="34">
        <f t="shared" si="11"/>
        <v>58500</v>
      </c>
      <c r="G59" s="34">
        <f t="shared" si="12"/>
        <v>39000</v>
      </c>
      <c r="H59" s="34">
        <f t="shared" si="28"/>
        <v>409500</v>
      </c>
      <c r="I59" s="34">
        <f t="shared" si="13"/>
        <v>682500</v>
      </c>
      <c r="J59" s="34">
        <f t="shared" si="14"/>
        <v>117000</v>
      </c>
      <c r="K59" s="34">
        <f t="shared" si="15"/>
        <v>39000</v>
      </c>
      <c r="L59" s="34">
        <f t="shared" si="29"/>
        <v>838500</v>
      </c>
      <c r="M59" s="27"/>
      <c r="N59" s="34">
        <f t="shared" si="30"/>
        <v>39000</v>
      </c>
      <c r="O59" s="34">
        <f t="shared" si="31"/>
        <v>78000</v>
      </c>
      <c r="P59" s="34"/>
      <c r="Q59" s="98"/>
      <c r="R59" s="92"/>
      <c r="S59"/>
      <c r="T59" s="92"/>
      <c r="U59" s="92"/>
    </row>
    <row r="60" spans="1:21" s="19" customFormat="1" ht="36.75" customHeight="1" x14ac:dyDescent="0.25">
      <c r="A60" s="96">
        <v>48</v>
      </c>
      <c r="B60" s="172" t="s">
        <v>139</v>
      </c>
      <c r="C60" s="42" t="s">
        <v>128</v>
      </c>
      <c r="D60" s="34">
        <f>+VLOOKUP(B60,'BẢNG LƯƠNG T08.2024'!$B$13:$H$166,6,0)</f>
        <v>3900000</v>
      </c>
      <c r="E60" s="34">
        <f t="shared" si="10"/>
        <v>312000</v>
      </c>
      <c r="F60" s="34">
        <f t="shared" si="11"/>
        <v>58500</v>
      </c>
      <c r="G60" s="34">
        <f t="shared" si="12"/>
        <v>39000</v>
      </c>
      <c r="H60" s="34">
        <f t="shared" si="28"/>
        <v>409500</v>
      </c>
      <c r="I60" s="34">
        <f t="shared" si="13"/>
        <v>682500</v>
      </c>
      <c r="J60" s="34">
        <f t="shared" si="14"/>
        <v>117000</v>
      </c>
      <c r="K60" s="34">
        <f t="shared" si="15"/>
        <v>39000</v>
      </c>
      <c r="L60" s="34">
        <f t="shared" si="29"/>
        <v>838500</v>
      </c>
      <c r="M60" s="27"/>
      <c r="N60" s="34">
        <f t="shared" si="30"/>
        <v>39000</v>
      </c>
      <c r="O60" s="34">
        <f t="shared" si="31"/>
        <v>78000</v>
      </c>
      <c r="P60" s="34"/>
      <c r="Q60" s="98"/>
      <c r="R60" s="92"/>
      <c r="S60"/>
      <c r="T60" s="92"/>
      <c r="U60" s="92"/>
    </row>
    <row r="61" spans="1:21" s="19" customFormat="1" ht="36.75" customHeight="1" x14ac:dyDescent="0.25">
      <c r="A61" s="96">
        <v>49</v>
      </c>
      <c r="B61" s="172" t="s">
        <v>141</v>
      </c>
      <c r="C61" s="42" t="s">
        <v>128</v>
      </c>
      <c r="D61" s="34">
        <f>+VLOOKUP(B61,'BẢNG LƯƠNG T08.2024'!$B$13:$H$166,6,0)</f>
        <v>3900000</v>
      </c>
      <c r="E61" s="34">
        <f t="shared" si="10"/>
        <v>312000</v>
      </c>
      <c r="F61" s="34">
        <f t="shared" si="11"/>
        <v>58500</v>
      </c>
      <c r="G61" s="34">
        <f t="shared" si="12"/>
        <v>39000</v>
      </c>
      <c r="H61" s="34">
        <f t="shared" si="28"/>
        <v>409500</v>
      </c>
      <c r="I61" s="34">
        <f t="shared" si="13"/>
        <v>682500</v>
      </c>
      <c r="J61" s="34">
        <f t="shared" si="14"/>
        <v>117000</v>
      </c>
      <c r="K61" s="34">
        <f t="shared" si="15"/>
        <v>39000</v>
      </c>
      <c r="L61" s="34">
        <f t="shared" si="29"/>
        <v>838500</v>
      </c>
      <c r="M61" s="27"/>
      <c r="N61" s="34">
        <f t="shared" si="30"/>
        <v>39000</v>
      </c>
      <c r="O61" s="34">
        <f t="shared" si="31"/>
        <v>78000</v>
      </c>
      <c r="P61" s="34"/>
      <c r="Q61" s="98"/>
      <c r="R61" s="92"/>
      <c r="S61"/>
      <c r="T61" s="92"/>
      <c r="U61" s="92"/>
    </row>
    <row r="62" spans="1:21" s="19" customFormat="1" ht="36.75" customHeight="1" x14ac:dyDescent="0.25">
      <c r="A62" s="96">
        <v>50</v>
      </c>
      <c r="B62" s="172" t="s">
        <v>256</v>
      </c>
      <c r="C62" s="42" t="s">
        <v>128</v>
      </c>
      <c r="D62" s="34">
        <f>+VLOOKUP(B62,'BẢNG LƯƠNG T08.2024'!$B$13:$H$166,6,0)</f>
        <v>3900000</v>
      </c>
      <c r="E62" s="34">
        <f t="shared" si="10"/>
        <v>312000</v>
      </c>
      <c r="F62" s="34">
        <f t="shared" si="11"/>
        <v>58500</v>
      </c>
      <c r="G62" s="34">
        <f t="shared" si="12"/>
        <v>39000</v>
      </c>
      <c r="H62" s="34">
        <f t="shared" si="28"/>
        <v>409500</v>
      </c>
      <c r="I62" s="34">
        <f t="shared" si="13"/>
        <v>682500</v>
      </c>
      <c r="J62" s="34">
        <f t="shared" si="14"/>
        <v>117000</v>
      </c>
      <c r="K62" s="34">
        <f t="shared" si="15"/>
        <v>39000</v>
      </c>
      <c r="L62" s="34">
        <f t="shared" si="29"/>
        <v>838500</v>
      </c>
      <c r="M62" s="27"/>
      <c r="N62" s="34">
        <f t="shared" si="30"/>
        <v>39000</v>
      </c>
      <c r="O62" s="34">
        <f t="shared" si="31"/>
        <v>78000</v>
      </c>
      <c r="P62" s="34"/>
      <c r="Q62" s="98"/>
      <c r="R62" s="92"/>
      <c r="S62"/>
      <c r="T62" s="92"/>
      <c r="U62" s="92"/>
    </row>
    <row r="63" spans="1:21" s="19" customFormat="1" ht="36.75" customHeight="1" x14ac:dyDescent="0.25">
      <c r="A63" s="96">
        <v>51</v>
      </c>
      <c r="B63" s="172" t="s">
        <v>143</v>
      </c>
      <c r="C63" s="25" t="s">
        <v>344</v>
      </c>
      <c r="D63" s="34">
        <f>+VLOOKUP(B63,'BẢNG LƯƠNG T08.2024'!$B$13:$H$166,6,0)</f>
        <v>5000000</v>
      </c>
      <c r="E63" s="34">
        <f t="shared" si="10"/>
        <v>400000</v>
      </c>
      <c r="F63" s="34">
        <f t="shared" si="11"/>
        <v>75000</v>
      </c>
      <c r="G63" s="34">
        <f t="shared" si="12"/>
        <v>50000</v>
      </c>
      <c r="H63" s="34">
        <f t="shared" si="28"/>
        <v>525000</v>
      </c>
      <c r="I63" s="34">
        <f t="shared" si="13"/>
        <v>875000</v>
      </c>
      <c r="J63" s="34">
        <f t="shared" si="14"/>
        <v>150000</v>
      </c>
      <c r="K63" s="34">
        <f t="shared" si="15"/>
        <v>50000</v>
      </c>
      <c r="L63" s="34">
        <f t="shared" si="29"/>
        <v>1075000</v>
      </c>
      <c r="M63" s="27"/>
      <c r="N63" s="34">
        <f t="shared" si="30"/>
        <v>50000</v>
      </c>
      <c r="O63" s="34">
        <f t="shared" si="31"/>
        <v>100000</v>
      </c>
      <c r="P63" s="34"/>
      <c r="Q63" s="98"/>
      <c r="R63" s="92"/>
      <c r="S63"/>
      <c r="T63" s="92"/>
      <c r="U63" s="92"/>
    </row>
    <row r="64" spans="1:21" s="19" customFormat="1" ht="36.75" customHeight="1" x14ac:dyDescent="0.25">
      <c r="A64" s="96">
        <v>52</v>
      </c>
      <c r="B64" s="172" t="s">
        <v>145</v>
      </c>
      <c r="C64" s="25" t="s">
        <v>343</v>
      </c>
      <c r="D64" s="34">
        <f>+VLOOKUP(B64,'BẢNG LƯƠNG T08.2024'!$B$13:$H$166,6,0)</f>
        <v>5000000</v>
      </c>
      <c r="E64" s="34">
        <f t="shared" si="10"/>
        <v>400000</v>
      </c>
      <c r="F64" s="34">
        <f t="shared" si="11"/>
        <v>75000</v>
      </c>
      <c r="G64" s="34">
        <f t="shared" si="12"/>
        <v>50000</v>
      </c>
      <c r="H64" s="34">
        <f t="shared" si="28"/>
        <v>525000</v>
      </c>
      <c r="I64" s="34">
        <f t="shared" si="13"/>
        <v>875000</v>
      </c>
      <c r="J64" s="34">
        <f t="shared" si="14"/>
        <v>150000</v>
      </c>
      <c r="K64" s="34">
        <f t="shared" si="15"/>
        <v>50000</v>
      </c>
      <c r="L64" s="34">
        <f t="shared" si="29"/>
        <v>1075000</v>
      </c>
      <c r="M64" s="27"/>
      <c r="N64" s="34">
        <f t="shared" si="30"/>
        <v>50000</v>
      </c>
      <c r="O64" s="34">
        <f t="shared" si="31"/>
        <v>100000</v>
      </c>
      <c r="P64" s="34"/>
      <c r="Q64" s="98"/>
      <c r="R64" s="92"/>
      <c r="S64"/>
      <c r="T64" s="92"/>
      <c r="U64" s="92"/>
    </row>
    <row r="65" spans="1:21" s="19" customFormat="1" ht="36.75" customHeight="1" x14ac:dyDescent="0.25">
      <c r="A65" s="96">
        <v>53</v>
      </c>
      <c r="B65" s="172" t="s">
        <v>147</v>
      </c>
      <c r="C65" s="25" t="s">
        <v>343</v>
      </c>
      <c r="D65" s="34">
        <f>+VLOOKUP(B65,'BẢNG LƯƠNG T08.2024'!$B$13:$H$166,6,0)</f>
        <v>3900000</v>
      </c>
      <c r="E65" s="34">
        <f t="shared" si="10"/>
        <v>312000</v>
      </c>
      <c r="F65" s="34">
        <f t="shared" si="11"/>
        <v>58500</v>
      </c>
      <c r="G65" s="34">
        <f t="shared" si="12"/>
        <v>39000</v>
      </c>
      <c r="H65" s="34">
        <f t="shared" si="28"/>
        <v>409500</v>
      </c>
      <c r="I65" s="34">
        <f t="shared" si="13"/>
        <v>682500</v>
      </c>
      <c r="J65" s="34">
        <f t="shared" si="14"/>
        <v>117000</v>
      </c>
      <c r="K65" s="34">
        <f t="shared" si="15"/>
        <v>39000</v>
      </c>
      <c r="L65" s="34">
        <f t="shared" si="29"/>
        <v>838500</v>
      </c>
      <c r="M65" s="27"/>
      <c r="N65" s="34">
        <f t="shared" si="30"/>
        <v>39000</v>
      </c>
      <c r="O65" s="34">
        <f t="shared" si="31"/>
        <v>78000</v>
      </c>
      <c r="P65" s="34"/>
      <c r="Q65" s="98"/>
      <c r="R65" s="92"/>
      <c r="S65"/>
      <c r="T65" s="92"/>
      <c r="U65" s="92"/>
    </row>
    <row r="66" spans="1:21" s="19" customFormat="1" ht="36.75" customHeight="1" x14ac:dyDescent="0.25">
      <c r="A66" s="96">
        <v>54</v>
      </c>
      <c r="B66" s="172" t="s">
        <v>149</v>
      </c>
      <c r="C66" s="25" t="s">
        <v>343</v>
      </c>
      <c r="D66" s="34">
        <f>+VLOOKUP(B66,'BẢNG LƯƠNG T08.2024'!$B$13:$H$166,6,0)</f>
        <v>3900000</v>
      </c>
      <c r="E66" s="34">
        <f t="shared" si="10"/>
        <v>312000</v>
      </c>
      <c r="F66" s="34">
        <f t="shared" si="11"/>
        <v>58500</v>
      </c>
      <c r="G66" s="34">
        <f t="shared" si="12"/>
        <v>39000</v>
      </c>
      <c r="H66" s="34">
        <f t="shared" si="28"/>
        <v>409500</v>
      </c>
      <c r="I66" s="34">
        <f t="shared" si="13"/>
        <v>682500</v>
      </c>
      <c r="J66" s="34">
        <f t="shared" si="14"/>
        <v>117000</v>
      </c>
      <c r="K66" s="34">
        <f t="shared" si="15"/>
        <v>39000</v>
      </c>
      <c r="L66" s="34">
        <f t="shared" si="29"/>
        <v>838500</v>
      </c>
      <c r="M66" s="27"/>
      <c r="N66" s="34">
        <f t="shared" si="30"/>
        <v>39000</v>
      </c>
      <c r="O66" s="34">
        <f t="shared" si="31"/>
        <v>78000</v>
      </c>
      <c r="P66" s="34"/>
      <c r="Q66" s="98"/>
      <c r="R66" s="92"/>
      <c r="S66"/>
      <c r="T66" s="92"/>
      <c r="U66" s="92"/>
    </row>
    <row r="67" spans="1:21" s="19" customFormat="1" ht="36.75" customHeight="1" x14ac:dyDescent="0.25">
      <c r="A67" s="96">
        <v>55</v>
      </c>
      <c r="B67" s="172" t="s">
        <v>151</v>
      </c>
      <c r="C67" s="25" t="s">
        <v>343</v>
      </c>
      <c r="D67" s="34">
        <f>+VLOOKUP(B67,'BẢNG LƯƠNG T08.2024'!$B$13:$H$166,6,0)</f>
        <v>3900000</v>
      </c>
      <c r="E67" s="34">
        <f t="shared" si="10"/>
        <v>312000</v>
      </c>
      <c r="F67" s="34">
        <f t="shared" si="11"/>
        <v>58500</v>
      </c>
      <c r="G67" s="34">
        <f t="shared" si="12"/>
        <v>39000</v>
      </c>
      <c r="H67" s="34">
        <f t="shared" si="28"/>
        <v>409500</v>
      </c>
      <c r="I67" s="34">
        <f t="shared" si="13"/>
        <v>682500</v>
      </c>
      <c r="J67" s="34">
        <f t="shared" si="14"/>
        <v>117000</v>
      </c>
      <c r="K67" s="34">
        <f t="shared" si="15"/>
        <v>39000</v>
      </c>
      <c r="L67" s="34">
        <f t="shared" si="29"/>
        <v>838500</v>
      </c>
      <c r="M67" s="27"/>
      <c r="N67" s="34">
        <f t="shared" si="30"/>
        <v>39000</v>
      </c>
      <c r="O67" s="34">
        <f t="shared" si="31"/>
        <v>78000</v>
      </c>
      <c r="P67" s="34"/>
      <c r="Q67" s="98"/>
      <c r="R67" s="92"/>
      <c r="S67"/>
      <c r="T67" s="92"/>
      <c r="U67" s="92"/>
    </row>
    <row r="68" spans="1:21" s="19" customFormat="1" ht="36.75" customHeight="1" x14ac:dyDescent="0.25">
      <c r="A68" s="96">
        <v>56</v>
      </c>
      <c r="B68" s="172" t="s">
        <v>153</v>
      </c>
      <c r="C68" s="25" t="s">
        <v>343</v>
      </c>
      <c r="D68" s="34">
        <f>+VLOOKUP(B68,'BẢNG LƯƠNG T08.2024'!$B$13:$H$166,6,0)</f>
        <v>3900000</v>
      </c>
      <c r="E68" s="34">
        <f t="shared" si="10"/>
        <v>312000</v>
      </c>
      <c r="F68" s="34">
        <f t="shared" si="11"/>
        <v>58500</v>
      </c>
      <c r="G68" s="34">
        <f t="shared" si="12"/>
        <v>39000</v>
      </c>
      <c r="H68" s="34">
        <f t="shared" si="28"/>
        <v>409500</v>
      </c>
      <c r="I68" s="34">
        <f t="shared" si="13"/>
        <v>682500</v>
      </c>
      <c r="J68" s="34">
        <f t="shared" si="14"/>
        <v>117000</v>
      </c>
      <c r="K68" s="34">
        <f t="shared" si="15"/>
        <v>39000</v>
      </c>
      <c r="L68" s="34">
        <f t="shared" si="29"/>
        <v>838500</v>
      </c>
      <c r="M68" s="27"/>
      <c r="N68" s="34">
        <f t="shared" si="30"/>
        <v>39000</v>
      </c>
      <c r="O68" s="34">
        <f t="shared" si="31"/>
        <v>78000</v>
      </c>
      <c r="P68" s="34"/>
      <c r="Q68" s="98"/>
      <c r="R68" s="92"/>
      <c r="S68"/>
      <c r="T68" s="92"/>
      <c r="U68" s="92"/>
    </row>
    <row r="69" spans="1:21" s="19" customFormat="1" ht="36.75" customHeight="1" x14ac:dyDescent="0.25">
      <c r="A69" s="96">
        <v>57</v>
      </c>
      <c r="B69" s="172" t="s">
        <v>155</v>
      </c>
      <c r="C69" s="25" t="s">
        <v>343</v>
      </c>
      <c r="D69" s="34">
        <f>+VLOOKUP(B69,'BẢNG LƯƠNG T08.2024'!$B$13:$H$166,6,0)</f>
        <v>3900000</v>
      </c>
      <c r="E69" s="34">
        <f t="shared" si="10"/>
        <v>312000</v>
      </c>
      <c r="F69" s="34">
        <f t="shared" si="11"/>
        <v>58500</v>
      </c>
      <c r="G69" s="34">
        <f t="shared" si="12"/>
        <v>39000</v>
      </c>
      <c r="H69" s="34">
        <f t="shared" si="28"/>
        <v>409500</v>
      </c>
      <c r="I69" s="34">
        <f t="shared" si="13"/>
        <v>682500</v>
      </c>
      <c r="J69" s="34">
        <f t="shared" si="14"/>
        <v>117000</v>
      </c>
      <c r="K69" s="34">
        <f t="shared" si="15"/>
        <v>39000</v>
      </c>
      <c r="L69" s="34">
        <f t="shared" si="29"/>
        <v>838500</v>
      </c>
      <c r="M69" s="27"/>
      <c r="N69" s="34">
        <f t="shared" si="30"/>
        <v>39000</v>
      </c>
      <c r="O69" s="34">
        <f t="shared" si="31"/>
        <v>78000</v>
      </c>
      <c r="P69" s="34"/>
      <c r="Q69" s="98"/>
      <c r="R69" s="92"/>
      <c r="S69"/>
      <c r="T69" s="92"/>
      <c r="U69" s="92"/>
    </row>
    <row r="70" spans="1:21" s="19" customFormat="1" ht="36.75" customHeight="1" x14ac:dyDescent="0.25">
      <c r="A70" s="96">
        <v>58</v>
      </c>
      <c r="B70" s="172" t="s">
        <v>157</v>
      </c>
      <c r="C70" s="25" t="s">
        <v>343</v>
      </c>
      <c r="D70" s="34">
        <f>+VLOOKUP(B70,'BẢNG LƯƠNG T08.2024'!$B$13:$H$166,6,0)</f>
        <v>3900000</v>
      </c>
      <c r="E70" s="34">
        <f t="shared" si="10"/>
        <v>312000</v>
      </c>
      <c r="F70" s="34">
        <f t="shared" si="11"/>
        <v>58500</v>
      </c>
      <c r="G70" s="34">
        <f t="shared" si="12"/>
        <v>39000</v>
      </c>
      <c r="H70" s="34">
        <f t="shared" si="28"/>
        <v>409500</v>
      </c>
      <c r="I70" s="34">
        <f t="shared" si="13"/>
        <v>682500</v>
      </c>
      <c r="J70" s="34">
        <f t="shared" si="14"/>
        <v>117000</v>
      </c>
      <c r="K70" s="34">
        <f t="shared" si="15"/>
        <v>39000</v>
      </c>
      <c r="L70" s="34">
        <f t="shared" si="29"/>
        <v>838500</v>
      </c>
      <c r="M70" s="27"/>
      <c r="N70" s="34">
        <f t="shared" si="30"/>
        <v>39000</v>
      </c>
      <c r="O70" s="34">
        <f t="shared" si="31"/>
        <v>78000</v>
      </c>
      <c r="P70" s="34"/>
      <c r="Q70" s="98"/>
      <c r="R70" s="92"/>
      <c r="S70"/>
      <c r="T70" s="92"/>
      <c r="U70" s="92"/>
    </row>
    <row r="71" spans="1:21" s="19" customFormat="1" ht="36.75" customHeight="1" x14ac:dyDescent="0.25">
      <c r="A71" s="96">
        <v>59</v>
      </c>
      <c r="B71" s="172" t="s">
        <v>159</v>
      </c>
      <c r="C71" s="25" t="s">
        <v>343</v>
      </c>
      <c r="D71" s="34">
        <f>+VLOOKUP(B71,'BẢNG LƯƠNG T08.2024'!$B$13:$H$166,6,0)</f>
        <v>3900000</v>
      </c>
      <c r="E71" s="34">
        <f t="shared" si="10"/>
        <v>312000</v>
      </c>
      <c r="F71" s="34">
        <f t="shared" si="11"/>
        <v>58500</v>
      </c>
      <c r="G71" s="34">
        <f t="shared" si="12"/>
        <v>39000</v>
      </c>
      <c r="H71" s="34">
        <f t="shared" si="28"/>
        <v>409500</v>
      </c>
      <c r="I71" s="34">
        <f t="shared" si="13"/>
        <v>682500</v>
      </c>
      <c r="J71" s="34">
        <f t="shared" si="14"/>
        <v>117000</v>
      </c>
      <c r="K71" s="34">
        <f t="shared" si="15"/>
        <v>39000</v>
      </c>
      <c r="L71" s="34">
        <f t="shared" si="29"/>
        <v>838500</v>
      </c>
      <c r="M71" s="27"/>
      <c r="N71" s="34">
        <f t="shared" si="30"/>
        <v>39000</v>
      </c>
      <c r="O71" s="34">
        <f t="shared" si="31"/>
        <v>78000</v>
      </c>
      <c r="P71" s="34"/>
      <c r="Q71" s="98"/>
      <c r="R71" s="92"/>
      <c r="S71"/>
      <c r="T71" s="92"/>
      <c r="U71" s="92"/>
    </row>
    <row r="72" spans="1:21" s="19" customFormat="1" ht="36.75" customHeight="1" x14ac:dyDescent="0.25">
      <c r="A72" s="96">
        <v>60</v>
      </c>
      <c r="B72" s="172" t="s">
        <v>161</v>
      </c>
      <c r="C72" s="25" t="s">
        <v>343</v>
      </c>
      <c r="D72" s="34">
        <f>+VLOOKUP(B72,'BẢNG LƯƠNG T08.2024'!$B$13:$H$166,6,0)</f>
        <v>3900000</v>
      </c>
      <c r="E72" s="34">
        <f t="shared" si="10"/>
        <v>312000</v>
      </c>
      <c r="F72" s="34">
        <f t="shared" si="11"/>
        <v>58500</v>
      </c>
      <c r="G72" s="34">
        <f t="shared" si="12"/>
        <v>39000</v>
      </c>
      <c r="H72" s="34">
        <f t="shared" si="28"/>
        <v>409500</v>
      </c>
      <c r="I72" s="34">
        <f t="shared" si="13"/>
        <v>682500</v>
      </c>
      <c r="J72" s="34">
        <f t="shared" si="14"/>
        <v>117000</v>
      </c>
      <c r="K72" s="34">
        <f t="shared" si="15"/>
        <v>39000</v>
      </c>
      <c r="L72" s="34">
        <f t="shared" si="29"/>
        <v>838500</v>
      </c>
      <c r="M72" s="27"/>
      <c r="N72" s="34">
        <f t="shared" si="30"/>
        <v>39000</v>
      </c>
      <c r="O72" s="34">
        <f t="shared" si="31"/>
        <v>78000</v>
      </c>
      <c r="P72" s="34"/>
      <c r="Q72" s="98"/>
      <c r="R72" s="92"/>
      <c r="S72"/>
      <c r="T72" s="92"/>
      <c r="U72" s="92"/>
    </row>
    <row r="73" spans="1:21" s="19" customFormat="1" ht="36.75" customHeight="1" x14ac:dyDescent="0.25">
      <c r="A73" s="96">
        <v>61</v>
      </c>
      <c r="B73" s="172" t="s">
        <v>163</v>
      </c>
      <c r="C73" s="25" t="s">
        <v>343</v>
      </c>
      <c r="D73" s="34">
        <f>+VLOOKUP(B73,'BẢNG LƯƠNG T08.2024'!$B$13:$H$166,6,0)</f>
        <v>3860000</v>
      </c>
      <c r="E73" s="34">
        <f t="shared" si="10"/>
        <v>308800</v>
      </c>
      <c r="F73" s="34">
        <f t="shared" si="11"/>
        <v>57900</v>
      </c>
      <c r="G73" s="34">
        <f t="shared" si="12"/>
        <v>38600</v>
      </c>
      <c r="H73" s="34">
        <f t="shared" si="28"/>
        <v>405300</v>
      </c>
      <c r="I73" s="34">
        <f t="shared" si="13"/>
        <v>675500</v>
      </c>
      <c r="J73" s="34">
        <f t="shared" si="14"/>
        <v>115800</v>
      </c>
      <c r="K73" s="34">
        <f t="shared" si="15"/>
        <v>38600</v>
      </c>
      <c r="L73" s="34">
        <f t="shared" si="29"/>
        <v>829900</v>
      </c>
      <c r="M73" s="27"/>
      <c r="N73" s="34">
        <f t="shared" si="30"/>
        <v>38600</v>
      </c>
      <c r="O73" s="34">
        <f t="shared" si="31"/>
        <v>77200</v>
      </c>
      <c r="P73" s="34"/>
      <c r="Q73" s="98"/>
      <c r="R73" s="92"/>
      <c r="S73"/>
      <c r="T73" s="92"/>
      <c r="U73" s="92"/>
    </row>
    <row r="74" spans="1:21" s="19" customFormat="1" ht="36.75" customHeight="1" x14ac:dyDescent="0.25">
      <c r="A74" s="96">
        <v>62</v>
      </c>
      <c r="B74" s="172" t="s">
        <v>165</v>
      </c>
      <c r="C74" s="25" t="s">
        <v>343</v>
      </c>
      <c r="D74" s="34">
        <f>+VLOOKUP(B74,'BẢNG LƯƠNG T08.2024'!$B$13:$H$166,6,0)</f>
        <v>3860000</v>
      </c>
      <c r="E74" s="34">
        <f t="shared" si="10"/>
        <v>308800</v>
      </c>
      <c r="F74" s="34">
        <f t="shared" si="11"/>
        <v>57900</v>
      </c>
      <c r="G74" s="34">
        <f t="shared" si="12"/>
        <v>38600</v>
      </c>
      <c r="H74" s="34">
        <f t="shared" si="28"/>
        <v>405300</v>
      </c>
      <c r="I74" s="34">
        <f t="shared" si="13"/>
        <v>675500</v>
      </c>
      <c r="J74" s="34">
        <f t="shared" si="14"/>
        <v>115800</v>
      </c>
      <c r="K74" s="34">
        <f t="shared" si="15"/>
        <v>38600</v>
      </c>
      <c r="L74" s="34">
        <f t="shared" si="29"/>
        <v>829900</v>
      </c>
      <c r="M74" s="27"/>
      <c r="N74" s="34">
        <f t="shared" si="30"/>
        <v>38600</v>
      </c>
      <c r="O74" s="34">
        <f t="shared" si="31"/>
        <v>77200</v>
      </c>
      <c r="P74" s="34"/>
      <c r="Q74" s="98"/>
      <c r="R74" s="92"/>
      <c r="S74"/>
      <c r="T74" s="92"/>
      <c r="U74" s="92"/>
    </row>
    <row r="75" spans="1:21" s="19" customFormat="1" ht="36.75" customHeight="1" x14ac:dyDescent="0.25">
      <c r="A75" s="96">
        <v>63</v>
      </c>
      <c r="B75" s="172" t="s">
        <v>167</v>
      </c>
      <c r="C75" s="25" t="s">
        <v>343</v>
      </c>
      <c r="D75" s="34">
        <f>+VLOOKUP(B75,'BẢNG LƯƠNG T08.2024'!$B$13:$H$166,6,0)</f>
        <v>3900000</v>
      </c>
      <c r="E75" s="34">
        <f t="shared" si="10"/>
        <v>312000</v>
      </c>
      <c r="F75" s="34">
        <f t="shared" si="11"/>
        <v>58500</v>
      </c>
      <c r="G75" s="34">
        <f t="shared" si="12"/>
        <v>39000</v>
      </c>
      <c r="H75" s="34">
        <f t="shared" si="28"/>
        <v>409500</v>
      </c>
      <c r="I75" s="34">
        <f t="shared" si="13"/>
        <v>682500</v>
      </c>
      <c r="J75" s="34">
        <f t="shared" si="14"/>
        <v>117000</v>
      </c>
      <c r="K75" s="34">
        <f t="shared" si="15"/>
        <v>39000</v>
      </c>
      <c r="L75" s="34">
        <f t="shared" si="29"/>
        <v>838500</v>
      </c>
      <c r="M75" s="27"/>
      <c r="N75" s="34">
        <f t="shared" si="30"/>
        <v>39000</v>
      </c>
      <c r="O75" s="34">
        <f t="shared" si="31"/>
        <v>78000</v>
      </c>
      <c r="P75" s="34"/>
      <c r="Q75" s="98"/>
      <c r="R75" s="92"/>
      <c r="S75"/>
      <c r="T75" s="92"/>
      <c r="U75" s="92"/>
    </row>
    <row r="76" spans="1:21" s="19" customFormat="1" ht="36.75" customHeight="1" x14ac:dyDescent="0.25">
      <c r="A76" s="96">
        <v>64</v>
      </c>
      <c r="B76" s="172" t="s">
        <v>169</v>
      </c>
      <c r="C76" s="25" t="s">
        <v>343</v>
      </c>
      <c r="D76" s="34">
        <f>+VLOOKUP(B76,'BẢNG LƯƠNG T08.2024'!$B$13:$H$166,6,0)</f>
        <v>3900000</v>
      </c>
      <c r="E76" s="34">
        <f t="shared" si="10"/>
        <v>312000</v>
      </c>
      <c r="F76" s="34">
        <f t="shared" si="11"/>
        <v>58500</v>
      </c>
      <c r="G76" s="34">
        <f t="shared" si="12"/>
        <v>39000</v>
      </c>
      <c r="H76" s="34">
        <f t="shared" si="28"/>
        <v>409500</v>
      </c>
      <c r="I76" s="34">
        <f t="shared" si="13"/>
        <v>682500</v>
      </c>
      <c r="J76" s="34">
        <f t="shared" si="14"/>
        <v>117000</v>
      </c>
      <c r="K76" s="34">
        <f t="shared" si="15"/>
        <v>39000</v>
      </c>
      <c r="L76" s="34">
        <f t="shared" si="29"/>
        <v>838500</v>
      </c>
      <c r="M76" s="27"/>
      <c r="N76" s="34">
        <f t="shared" si="30"/>
        <v>39000</v>
      </c>
      <c r="O76" s="34">
        <f t="shared" si="31"/>
        <v>78000</v>
      </c>
      <c r="P76" s="34"/>
      <c r="Q76" s="98"/>
      <c r="R76" s="92"/>
      <c r="S76"/>
      <c r="T76" s="92"/>
      <c r="U76" s="92"/>
    </row>
    <row r="77" spans="1:21" s="19" customFormat="1" ht="36.75" customHeight="1" x14ac:dyDescent="0.25">
      <c r="A77" s="96">
        <v>65</v>
      </c>
      <c r="B77" s="172" t="s">
        <v>171</v>
      </c>
      <c r="C77" s="25" t="s">
        <v>343</v>
      </c>
      <c r="D77" s="34">
        <f>+VLOOKUP(B77,'BẢNG LƯƠNG T08.2024'!$B$13:$H$166,6,0)</f>
        <v>3900000</v>
      </c>
      <c r="E77" s="34">
        <f t="shared" si="10"/>
        <v>312000</v>
      </c>
      <c r="F77" s="34">
        <f t="shared" si="11"/>
        <v>58500</v>
      </c>
      <c r="G77" s="34">
        <f t="shared" si="12"/>
        <v>39000</v>
      </c>
      <c r="H77" s="34">
        <f t="shared" si="28"/>
        <v>409500</v>
      </c>
      <c r="I77" s="34">
        <f t="shared" si="13"/>
        <v>682500</v>
      </c>
      <c r="J77" s="34">
        <f t="shared" si="14"/>
        <v>117000</v>
      </c>
      <c r="K77" s="34">
        <f t="shared" si="15"/>
        <v>39000</v>
      </c>
      <c r="L77" s="34">
        <f t="shared" si="29"/>
        <v>838500</v>
      </c>
      <c r="M77" s="27"/>
      <c r="N77" s="34">
        <f t="shared" si="30"/>
        <v>39000</v>
      </c>
      <c r="O77" s="34">
        <f t="shared" si="31"/>
        <v>78000</v>
      </c>
      <c r="P77" s="34"/>
      <c r="Q77" s="98"/>
      <c r="R77" s="92"/>
      <c r="S77"/>
      <c r="T77" s="92"/>
      <c r="U77" s="92"/>
    </row>
    <row r="78" spans="1:21" s="19" customFormat="1" ht="36.75" customHeight="1" x14ac:dyDescent="0.25">
      <c r="A78" s="96">
        <v>66</v>
      </c>
      <c r="B78" s="172" t="s">
        <v>173</v>
      </c>
      <c r="C78" s="25" t="s">
        <v>343</v>
      </c>
      <c r="D78" s="34">
        <f>+VLOOKUP(B78,'BẢNG LƯƠNG T08.2024'!$B$13:$H$166,6,0)</f>
        <v>3900000</v>
      </c>
      <c r="E78" s="34">
        <f t="shared" si="10"/>
        <v>312000</v>
      </c>
      <c r="F78" s="34">
        <f t="shared" si="11"/>
        <v>58500</v>
      </c>
      <c r="G78" s="34">
        <f t="shared" si="12"/>
        <v>39000</v>
      </c>
      <c r="H78" s="34">
        <f t="shared" si="28"/>
        <v>409500</v>
      </c>
      <c r="I78" s="34">
        <f t="shared" si="13"/>
        <v>682500</v>
      </c>
      <c r="J78" s="34">
        <f t="shared" si="14"/>
        <v>117000</v>
      </c>
      <c r="K78" s="34">
        <f t="shared" si="15"/>
        <v>39000</v>
      </c>
      <c r="L78" s="34">
        <f t="shared" si="29"/>
        <v>838500</v>
      </c>
      <c r="M78" s="27"/>
      <c r="N78" s="34">
        <f t="shared" si="30"/>
        <v>39000</v>
      </c>
      <c r="O78" s="34">
        <f t="shared" si="31"/>
        <v>78000</v>
      </c>
      <c r="P78" s="34"/>
      <c r="Q78" s="98"/>
      <c r="R78" s="92"/>
      <c r="S78"/>
      <c r="T78" s="92"/>
      <c r="U78" s="92"/>
    </row>
    <row r="79" spans="1:21" s="19" customFormat="1" ht="36.75" customHeight="1" x14ac:dyDescent="0.25">
      <c r="A79" s="96">
        <v>67</v>
      </c>
      <c r="B79" s="172" t="s">
        <v>175</v>
      </c>
      <c r="C79" s="25" t="s">
        <v>343</v>
      </c>
      <c r="D79" s="34">
        <f>+VLOOKUP(B79,'BẢNG LƯƠNG T08.2024'!$B$13:$H$166,6,0)</f>
        <v>3900000</v>
      </c>
      <c r="E79" s="34">
        <f t="shared" si="10"/>
        <v>312000</v>
      </c>
      <c r="F79" s="34">
        <f t="shared" si="11"/>
        <v>58500</v>
      </c>
      <c r="G79" s="34">
        <f t="shared" si="12"/>
        <v>39000</v>
      </c>
      <c r="H79" s="34">
        <f t="shared" si="28"/>
        <v>409500</v>
      </c>
      <c r="I79" s="34">
        <f t="shared" si="13"/>
        <v>682500</v>
      </c>
      <c r="J79" s="34">
        <f t="shared" si="14"/>
        <v>117000</v>
      </c>
      <c r="K79" s="34">
        <f t="shared" si="15"/>
        <v>39000</v>
      </c>
      <c r="L79" s="34">
        <f t="shared" si="29"/>
        <v>838500</v>
      </c>
      <c r="M79" s="27"/>
      <c r="N79" s="34">
        <f t="shared" si="30"/>
        <v>39000</v>
      </c>
      <c r="O79" s="34">
        <f t="shared" si="31"/>
        <v>78000</v>
      </c>
      <c r="P79" s="34"/>
      <c r="Q79" s="98"/>
      <c r="R79" s="92"/>
      <c r="S79"/>
      <c r="T79" s="92"/>
      <c r="U79" s="92"/>
    </row>
    <row r="80" spans="1:21" s="19" customFormat="1" ht="36.75" customHeight="1" x14ac:dyDescent="0.25">
      <c r="A80" s="96">
        <v>68</v>
      </c>
      <c r="B80" s="172" t="s">
        <v>177</v>
      </c>
      <c r="C80" s="25" t="s">
        <v>343</v>
      </c>
      <c r="D80" s="34">
        <f>+VLOOKUP(B80,'BẢNG LƯƠNG T08.2024'!$B$13:$H$166,6,0)</f>
        <v>3900000</v>
      </c>
      <c r="E80" s="34">
        <f t="shared" si="10"/>
        <v>312000</v>
      </c>
      <c r="F80" s="34">
        <f t="shared" si="11"/>
        <v>58500</v>
      </c>
      <c r="G80" s="34">
        <f t="shared" si="12"/>
        <v>39000</v>
      </c>
      <c r="H80" s="34">
        <f t="shared" si="28"/>
        <v>409500</v>
      </c>
      <c r="I80" s="34">
        <f t="shared" si="13"/>
        <v>682500</v>
      </c>
      <c r="J80" s="34">
        <f t="shared" si="14"/>
        <v>117000</v>
      </c>
      <c r="K80" s="34">
        <f t="shared" si="15"/>
        <v>39000</v>
      </c>
      <c r="L80" s="34">
        <f t="shared" si="29"/>
        <v>838500</v>
      </c>
      <c r="M80" s="27"/>
      <c r="N80" s="34">
        <f t="shared" si="30"/>
        <v>39000</v>
      </c>
      <c r="O80" s="34">
        <f t="shared" si="31"/>
        <v>78000</v>
      </c>
      <c r="P80" s="34"/>
      <c r="Q80" s="98"/>
      <c r="R80" s="92"/>
      <c r="S80"/>
      <c r="T80" s="92"/>
      <c r="U80" s="92"/>
    </row>
    <row r="81" spans="1:21" s="19" customFormat="1" ht="36.75" customHeight="1" x14ac:dyDescent="0.25">
      <c r="A81" s="96">
        <v>69</v>
      </c>
      <c r="B81" s="172" t="s">
        <v>406</v>
      </c>
      <c r="C81" s="25" t="s">
        <v>343</v>
      </c>
      <c r="D81" s="34">
        <f>+VLOOKUP(B81,'BẢNG LƯƠNG T08.2024'!$B$13:$H$166,6,0)</f>
        <v>3900000</v>
      </c>
      <c r="E81" s="34">
        <f t="shared" si="10"/>
        <v>312000</v>
      </c>
      <c r="F81" s="34">
        <f t="shared" si="11"/>
        <v>58500</v>
      </c>
      <c r="G81" s="34">
        <f t="shared" si="12"/>
        <v>39000</v>
      </c>
      <c r="H81" s="34">
        <f t="shared" ref="H81" si="32">SUM(E81:G81)</f>
        <v>409500</v>
      </c>
      <c r="I81" s="34">
        <f t="shared" si="13"/>
        <v>682500</v>
      </c>
      <c r="J81" s="34">
        <f t="shared" si="14"/>
        <v>117000</v>
      </c>
      <c r="K81" s="34">
        <f t="shared" si="15"/>
        <v>39000</v>
      </c>
      <c r="L81" s="34">
        <f t="shared" ref="L81" si="33">SUM(I81:K81)</f>
        <v>838500</v>
      </c>
      <c r="M81" s="27"/>
      <c r="N81" s="34">
        <f t="shared" ref="N81" si="34">+D81*1%</f>
        <v>39000</v>
      </c>
      <c r="O81" s="34">
        <f t="shared" ref="O81" si="35">+D81*2%</f>
        <v>78000</v>
      </c>
      <c r="P81" s="34"/>
      <c r="Q81" s="98"/>
      <c r="R81" s="92"/>
      <c r="S81"/>
      <c r="T81" s="92"/>
      <c r="U81" s="92"/>
    </row>
    <row r="82" spans="1:21" s="19" customFormat="1" ht="36.75" customHeight="1" x14ac:dyDescent="0.25">
      <c r="A82" s="96">
        <v>70</v>
      </c>
      <c r="B82" s="172" t="s">
        <v>405</v>
      </c>
      <c r="C82" s="25" t="s">
        <v>343</v>
      </c>
      <c r="D82" s="34">
        <f>+VLOOKUP(B82,'BẢNG LƯƠNG T08.2024'!$B$13:$H$166,6,0)</f>
        <v>3900000</v>
      </c>
      <c r="E82" s="34">
        <f t="shared" si="10"/>
        <v>312000</v>
      </c>
      <c r="F82" s="34">
        <f t="shared" si="11"/>
        <v>58500</v>
      </c>
      <c r="G82" s="34">
        <f t="shared" si="12"/>
        <v>39000</v>
      </c>
      <c r="H82" s="34">
        <f t="shared" ref="H82:H83" si="36">SUM(E82:G82)</f>
        <v>409500</v>
      </c>
      <c r="I82" s="34">
        <f t="shared" si="13"/>
        <v>682500</v>
      </c>
      <c r="J82" s="34">
        <f t="shared" si="14"/>
        <v>117000</v>
      </c>
      <c r="K82" s="34">
        <f t="shared" si="15"/>
        <v>39000</v>
      </c>
      <c r="L82" s="34">
        <f t="shared" ref="L82:L84" si="37">SUM(I82:K82)</f>
        <v>838500</v>
      </c>
      <c r="M82" s="27"/>
      <c r="N82" s="34">
        <f t="shared" ref="N82:N84" si="38">+D82*1%</f>
        <v>39000</v>
      </c>
      <c r="O82" s="34">
        <f t="shared" ref="O82:O84" si="39">+D82*2%</f>
        <v>78000</v>
      </c>
      <c r="P82" s="34"/>
      <c r="Q82" s="98"/>
      <c r="R82" s="92"/>
      <c r="S82"/>
      <c r="T82" s="92"/>
      <c r="U82" s="92"/>
    </row>
    <row r="83" spans="1:21" s="19" customFormat="1" ht="36.75" customHeight="1" x14ac:dyDescent="0.25">
      <c r="A83" s="96">
        <v>71</v>
      </c>
      <c r="B83" s="172" t="s">
        <v>378</v>
      </c>
      <c r="C83" s="25" t="s">
        <v>343</v>
      </c>
      <c r="D83" s="34">
        <f>+VLOOKUP(B83,'BẢNG LƯƠNG T08.2024'!$B$13:$H$166,6,0)</f>
        <v>5000000</v>
      </c>
      <c r="E83" s="34">
        <f t="shared" si="10"/>
        <v>400000</v>
      </c>
      <c r="F83" s="34">
        <f t="shared" si="11"/>
        <v>75000</v>
      </c>
      <c r="G83" s="34">
        <f t="shared" si="12"/>
        <v>50000</v>
      </c>
      <c r="H83" s="34">
        <f t="shared" si="36"/>
        <v>525000</v>
      </c>
      <c r="I83" s="34">
        <f t="shared" si="13"/>
        <v>875000</v>
      </c>
      <c r="J83" s="34">
        <f t="shared" si="14"/>
        <v>150000</v>
      </c>
      <c r="K83" s="34">
        <f t="shared" si="15"/>
        <v>50000</v>
      </c>
      <c r="L83" s="34">
        <f t="shared" si="37"/>
        <v>1075000</v>
      </c>
      <c r="M83" s="27"/>
      <c r="N83" s="34">
        <f t="shared" si="38"/>
        <v>50000</v>
      </c>
      <c r="O83" s="34">
        <f t="shared" si="39"/>
        <v>100000</v>
      </c>
      <c r="P83" s="34"/>
      <c r="Q83" s="98"/>
      <c r="R83" s="92"/>
      <c r="S83"/>
      <c r="T83" s="92"/>
      <c r="U83" s="92"/>
    </row>
    <row r="84" spans="1:21" s="19" customFormat="1" ht="36.75" customHeight="1" x14ac:dyDescent="0.25">
      <c r="A84" s="96">
        <v>72</v>
      </c>
      <c r="B84" s="172" t="s">
        <v>257</v>
      </c>
      <c r="C84" s="25" t="s">
        <v>255</v>
      </c>
      <c r="D84" s="34">
        <f>+VLOOKUP(B84,'BẢNG LƯƠNG T08.2024'!$B$13:$H$166,6,0)</f>
        <v>5000000</v>
      </c>
      <c r="E84" s="34">
        <f t="shared" si="10"/>
        <v>400000</v>
      </c>
      <c r="F84" s="34">
        <f t="shared" si="11"/>
        <v>75000</v>
      </c>
      <c r="G84" s="34">
        <f t="shared" si="12"/>
        <v>50000</v>
      </c>
      <c r="H84" s="34">
        <f t="shared" si="28"/>
        <v>525000</v>
      </c>
      <c r="I84" s="34">
        <f t="shared" si="13"/>
        <v>875000</v>
      </c>
      <c r="J84" s="34">
        <f t="shared" si="14"/>
        <v>150000</v>
      </c>
      <c r="K84" s="34">
        <f t="shared" si="15"/>
        <v>50000</v>
      </c>
      <c r="L84" s="34">
        <f t="shared" si="37"/>
        <v>1075000</v>
      </c>
      <c r="M84" s="27"/>
      <c r="N84" s="34">
        <f t="shared" si="38"/>
        <v>50000</v>
      </c>
      <c r="O84" s="34">
        <f t="shared" si="39"/>
        <v>100000</v>
      </c>
      <c r="P84" s="34"/>
      <c r="Q84" s="98"/>
      <c r="R84" s="92"/>
      <c r="S84"/>
      <c r="T84" s="92"/>
      <c r="U84" s="92"/>
    </row>
    <row r="85" spans="1:21" s="19" customFormat="1" ht="36.75" customHeight="1" x14ac:dyDescent="0.25">
      <c r="A85" s="96">
        <v>73</v>
      </c>
      <c r="B85" s="172" t="s">
        <v>229</v>
      </c>
      <c r="C85" s="25" t="s">
        <v>255</v>
      </c>
      <c r="D85" s="34">
        <f>+VLOOKUP(B85,'BẢNG LƯƠNG T08.2024'!$B$13:$H$166,6,0)</f>
        <v>3900000</v>
      </c>
      <c r="E85" s="34">
        <f t="shared" si="10"/>
        <v>312000</v>
      </c>
      <c r="F85" s="34">
        <f t="shared" si="11"/>
        <v>58500</v>
      </c>
      <c r="G85" s="34">
        <f t="shared" si="12"/>
        <v>39000</v>
      </c>
      <c r="H85" s="34">
        <f t="shared" si="28"/>
        <v>409500</v>
      </c>
      <c r="I85" s="34">
        <f t="shared" si="13"/>
        <v>682500</v>
      </c>
      <c r="J85" s="34">
        <f t="shared" si="14"/>
        <v>117000</v>
      </c>
      <c r="K85" s="34">
        <f t="shared" si="15"/>
        <v>39000</v>
      </c>
      <c r="L85" s="34">
        <f t="shared" si="29"/>
        <v>838500</v>
      </c>
      <c r="M85" s="27"/>
      <c r="N85" s="34">
        <f t="shared" si="30"/>
        <v>39000</v>
      </c>
      <c r="O85" s="34">
        <f t="shared" si="31"/>
        <v>78000</v>
      </c>
      <c r="P85" s="34"/>
      <c r="Q85" s="98"/>
      <c r="R85" s="92"/>
      <c r="S85"/>
      <c r="T85" s="92"/>
      <c r="U85" s="92"/>
    </row>
    <row r="86" spans="1:21" s="19" customFormat="1" ht="36.75" customHeight="1" x14ac:dyDescent="0.25">
      <c r="A86" s="96">
        <v>74</v>
      </c>
      <c r="B86" s="172" t="s">
        <v>231</v>
      </c>
      <c r="C86" s="25" t="s">
        <v>255</v>
      </c>
      <c r="D86" s="34">
        <v>5000000</v>
      </c>
      <c r="E86" s="34">
        <f t="shared" si="10"/>
        <v>400000</v>
      </c>
      <c r="F86" s="34">
        <f t="shared" si="11"/>
        <v>75000</v>
      </c>
      <c r="G86" s="34">
        <f t="shared" si="12"/>
        <v>50000</v>
      </c>
      <c r="H86" s="34">
        <f t="shared" si="28"/>
        <v>525000</v>
      </c>
      <c r="I86" s="34">
        <f t="shared" si="13"/>
        <v>875000</v>
      </c>
      <c r="J86" s="34">
        <f t="shared" si="14"/>
        <v>150000</v>
      </c>
      <c r="K86" s="34">
        <f t="shared" si="15"/>
        <v>50000</v>
      </c>
      <c r="L86" s="34">
        <f t="shared" si="29"/>
        <v>1075000</v>
      </c>
      <c r="M86" s="27"/>
      <c r="N86" s="34">
        <f t="shared" si="30"/>
        <v>50000</v>
      </c>
      <c r="O86" s="34">
        <f t="shared" si="31"/>
        <v>100000</v>
      </c>
      <c r="P86" s="34"/>
      <c r="Q86" s="98"/>
      <c r="R86" s="92"/>
      <c r="S86"/>
      <c r="T86" s="92"/>
      <c r="U86" s="92"/>
    </row>
    <row r="87" spans="1:21" s="19" customFormat="1" ht="36.75" customHeight="1" x14ac:dyDescent="0.25">
      <c r="A87" s="96">
        <v>75</v>
      </c>
      <c r="B87" s="172" t="s">
        <v>247</v>
      </c>
      <c r="C87" s="25" t="s">
        <v>255</v>
      </c>
      <c r="D87" s="34">
        <v>5000000</v>
      </c>
      <c r="E87" s="34">
        <f t="shared" si="10"/>
        <v>400000</v>
      </c>
      <c r="F87" s="34">
        <f t="shared" si="11"/>
        <v>75000</v>
      </c>
      <c r="G87" s="34">
        <f t="shared" si="12"/>
        <v>50000</v>
      </c>
      <c r="H87" s="34">
        <f t="shared" si="28"/>
        <v>525000</v>
      </c>
      <c r="I87" s="34">
        <f t="shared" si="13"/>
        <v>875000</v>
      </c>
      <c r="J87" s="34">
        <f t="shared" si="14"/>
        <v>150000</v>
      </c>
      <c r="K87" s="34">
        <f t="shared" si="15"/>
        <v>50000</v>
      </c>
      <c r="L87" s="34">
        <f t="shared" si="29"/>
        <v>1075000</v>
      </c>
      <c r="M87" s="27"/>
      <c r="N87" s="34">
        <f t="shared" si="30"/>
        <v>50000</v>
      </c>
      <c r="O87" s="34">
        <f t="shared" si="31"/>
        <v>100000</v>
      </c>
      <c r="P87" s="34"/>
      <c r="Q87" s="98"/>
      <c r="R87" s="92"/>
      <c r="S87"/>
      <c r="T87" s="92"/>
      <c r="U87" s="92"/>
    </row>
    <row r="88" spans="1:21" s="19" customFormat="1" ht="36.75" customHeight="1" x14ac:dyDescent="0.25">
      <c r="A88" s="96">
        <v>76</v>
      </c>
      <c r="B88" s="172" t="s">
        <v>401</v>
      </c>
      <c r="C88" s="25" t="s">
        <v>255</v>
      </c>
      <c r="D88" s="34">
        <f>+VLOOKUP(B88,'BẢNG LƯƠNG T08.2024'!$B$13:$H$166,6,0)</f>
        <v>3900000</v>
      </c>
      <c r="E88" s="34">
        <f t="shared" si="10"/>
        <v>312000</v>
      </c>
      <c r="F88" s="34">
        <f t="shared" si="11"/>
        <v>58500</v>
      </c>
      <c r="G88" s="34">
        <f t="shared" si="12"/>
        <v>39000</v>
      </c>
      <c r="H88" s="34">
        <f t="shared" si="28"/>
        <v>409500</v>
      </c>
      <c r="I88" s="34">
        <f t="shared" si="13"/>
        <v>682500</v>
      </c>
      <c r="J88" s="34">
        <f t="shared" si="14"/>
        <v>117000</v>
      </c>
      <c r="K88" s="34">
        <f t="shared" si="15"/>
        <v>39000</v>
      </c>
      <c r="L88" s="34">
        <f t="shared" si="29"/>
        <v>838500</v>
      </c>
      <c r="M88" s="27"/>
      <c r="N88" s="34">
        <f t="shared" si="30"/>
        <v>39000</v>
      </c>
      <c r="O88" s="34">
        <f t="shared" si="31"/>
        <v>78000</v>
      </c>
      <c r="P88" s="34"/>
      <c r="Q88" s="98"/>
      <c r="R88" s="92"/>
      <c r="S88"/>
      <c r="T88" s="92"/>
      <c r="U88" s="92"/>
    </row>
    <row r="89" spans="1:21" s="19" customFormat="1" ht="36.75" customHeight="1" x14ac:dyDescent="0.25">
      <c r="A89" s="96">
        <v>77</v>
      </c>
      <c r="B89" s="172" t="s">
        <v>402</v>
      </c>
      <c r="C89" s="25" t="s">
        <v>255</v>
      </c>
      <c r="D89" s="34">
        <f>+VLOOKUP(B89,'BẢNG LƯƠNG T08.2024'!$B$13:$H$166,6,0)</f>
        <v>3900000</v>
      </c>
      <c r="E89" s="34">
        <f t="shared" si="10"/>
        <v>312000</v>
      </c>
      <c r="F89" s="34">
        <f t="shared" si="11"/>
        <v>58500</v>
      </c>
      <c r="G89" s="34">
        <f t="shared" si="12"/>
        <v>39000</v>
      </c>
      <c r="H89" s="34">
        <f t="shared" ref="H89" si="40">SUM(E89:G89)</f>
        <v>409500</v>
      </c>
      <c r="I89" s="34">
        <f t="shared" si="13"/>
        <v>682500</v>
      </c>
      <c r="J89" s="34">
        <f t="shared" si="14"/>
        <v>117000</v>
      </c>
      <c r="K89" s="34">
        <f t="shared" si="15"/>
        <v>39000</v>
      </c>
      <c r="L89" s="34">
        <f t="shared" ref="L89" si="41">SUM(I89:K89)</f>
        <v>838500</v>
      </c>
      <c r="M89" s="27"/>
      <c r="N89" s="34">
        <f t="shared" ref="N89" si="42">+D89*1%</f>
        <v>39000</v>
      </c>
      <c r="O89" s="34">
        <f t="shared" ref="O89" si="43">+D89*2%</f>
        <v>78000</v>
      </c>
      <c r="P89" s="34"/>
      <c r="Q89" s="98"/>
      <c r="R89" s="92"/>
      <c r="S89"/>
      <c r="T89" s="92"/>
      <c r="U89" s="92"/>
    </row>
    <row r="90" spans="1:21" s="19" customFormat="1" ht="36.75" customHeight="1" x14ac:dyDescent="0.25">
      <c r="A90" s="96">
        <v>78</v>
      </c>
      <c r="B90" s="172" t="s">
        <v>403</v>
      </c>
      <c r="C90" s="25" t="s">
        <v>255</v>
      </c>
      <c r="D90" s="34">
        <f>+VLOOKUP(B90,'BẢNG LƯƠNG T08.2024'!$B$13:$H$166,6,0)</f>
        <v>3900000</v>
      </c>
      <c r="E90" s="34">
        <f t="shared" si="10"/>
        <v>312000</v>
      </c>
      <c r="F90" s="34">
        <f t="shared" si="11"/>
        <v>58500</v>
      </c>
      <c r="G90" s="34">
        <f t="shared" si="12"/>
        <v>39000</v>
      </c>
      <c r="H90" s="34">
        <f t="shared" ref="H90" si="44">SUM(E90:G90)</f>
        <v>409500</v>
      </c>
      <c r="I90" s="34">
        <f t="shared" si="13"/>
        <v>682500</v>
      </c>
      <c r="J90" s="34">
        <f t="shared" si="14"/>
        <v>117000</v>
      </c>
      <c r="K90" s="34">
        <f t="shared" si="15"/>
        <v>39000</v>
      </c>
      <c r="L90" s="34">
        <f t="shared" ref="L90" si="45">SUM(I90:K90)</f>
        <v>838500</v>
      </c>
      <c r="M90" s="27"/>
      <c r="N90" s="34">
        <f t="shared" ref="N90" si="46">+D90*1%</f>
        <v>39000</v>
      </c>
      <c r="O90" s="34">
        <f t="shared" ref="O90" si="47">+D90*2%</f>
        <v>78000</v>
      </c>
      <c r="P90" s="34"/>
      <c r="Q90" s="98"/>
      <c r="R90" s="92"/>
      <c r="S90"/>
      <c r="T90" s="92"/>
      <c r="U90" s="92"/>
    </row>
    <row r="91" spans="1:21" s="19" customFormat="1" ht="36.75" customHeight="1" x14ac:dyDescent="0.25">
      <c r="A91" s="96">
        <v>79</v>
      </c>
      <c r="B91" s="172" t="s">
        <v>404</v>
      </c>
      <c r="C91" s="25" t="s">
        <v>255</v>
      </c>
      <c r="D91" s="34">
        <f>+VLOOKUP(B91,'BẢNG LƯƠNG T08.2024'!$B$13:$H$166,6,0)</f>
        <v>3900000</v>
      </c>
      <c r="E91" s="34">
        <f t="shared" si="10"/>
        <v>312000</v>
      </c>
      <c r="F91" s="34">
        <f t="shared" si="11"/>
        <v>58500</v>
      </c>
      <c r="G91" s="34">
        <f t="shared" si="12"/>
        <v>39000</v>
      </c>
      <c r="H91" s="34">
        <f t="shared" ref="H91:H93" si="48">SUM(E91:G91)</f>
        <v>409500</v>
      </c>
      <c r="I91" s="34">
        <f t="shared" si="13"/>
        <v>682500</v>
      </c>
      <c r="J91" s="34">
        <f t="shared" si="14"/>
        <v>117000</v>
      </c>
      <c r="K91" s="34">
        <f t="shared" si="15"/>
        <v>39000</v>
      </c>
      <c r="L91" s="34">
        <f t="shared" ref="L91:L93" si="49">SUM(I91:K91)</f>
        <v>838500</v>
      </c>
      <c r="M91" s="27"/>
      <c r="N91" s="34">
        <f t="shared" ref="N91:N93" si="50">+D91*1%</f>
        <v>39000</v>
      </c>
      <c r="O91" s="34">
        <f t="shared" ref="O91:O93" si="51">+D91*2%</f>
        <v>78000</v>
      </c>
      <c r="P91" s="34"/>
      <c r="Q91" s="98"/>
      <c r="R91" s="92"/>
      <c r="S91"/>
      <c r="T91" s="92"/>
      <c r="U91" s="92"/>
    </row>
    <row r="92" spans="1:21" s="19" customFormat="1" ht="36.75" customHeight="1" x14ac:dyDescent="0.25">
      <c r="A92" s="96">
        <v>80</v>
      </c>
      <c r="B92" s="172" t="s">
        <v>379</v>
      </c>
      <c r="C92" s="25" t="s">
        <v>255</v>
      </c>
      <c r="D92" s="34">
        <f>+VLOOKUP(B92,'BẢNG LƯƠNG T08.2024'!$B$13:$H$166,6,0)</f>
        <v>5000000</v>
      </c>
      <c r="E92" s="34">
        <f t="shared" si="10"/>
        <v>400000</v>
      </c>
      <c r="F92" s="34">
        <f t="shared" si="11"/>
        <v>75000</v>
      </c>
      <c r="G92" s="34">
        <f t="shared" si="12"/>
        <v>50000</v>
      </c>
      <c r="H92" s="34">
        <f t="shared" si="48"/>
        <v>525000</v>
      </c>
      <c r="I92" s="34">
        <f t="shared" si="13"/>
        <v>875000</v>
      </c>
      <c r="J92" s="34">
        <f t="shared" si="14"/>
        <v>150000</v>
      </c>
      <c r="K92" s="34">
        <f t="shared" si="15"/>
        <v>50000</v>
      </c>
      <c r="L92" s="34">
        <f t="shared" si="49"/>
        <v>1075000</v>
      </c>
      <c r="M92" s="27"/>
      <c r="N92" s="34">
        <f t="shared" si="50"/>
        <v>50000</v>
      </c>
      <c r="O92" s="34">
        <f t="shared" si="51"/>
        <v>100000</v>
      </c>
      <c r="P92" s="34"/>
      <c r="Q92" s="98"/>
      <c r="R92" s="92"/>
      <c r="S92"/>
      <c r="T92" s="92"/>
      <c r="U92" s="92"/>
    </row>
    <row r="93" spans="1:21" s="19" customFormat="1" ht="36.75" customHeight="1" x14ac:dyDescent="0.25">
      <c r="A93" s="96">
        <v>81</v>
      </c>
      <c r="B93" s="172" t="s">
        <v>179</v>
      </c>
      <c r="C93" s="25" t="s">
        <v>180</v>
      </c>
      <c r="D93" s="34">
        <f>+VLOOKUP(B93,'BẢNG LƯƠNG T08.2024'!$B$13:$H$166,6,0)</f>
        <v>5000000</v>
      </c>
      <c r="E93" s="34">
        <f>$D93*8%</f>
        <v>400000</v>
      </c>
      <c r="F93" s="34">
        <f t="shared" si="11"/>
        <v>75000</v>
      </c>
      <c r="G93" s="34">
        <f t="shared" si="12"/>
        <v>50000</v>
      </c>
      <c r="H93" s="34">
        <f t="shared" si="48"/>
        <v>525000</v>
      </c>
      <c r="I93" s="34">
        <f>$D93*17.5%</f>
        <v>875000</v>
      </c>
      <c r="J93" s="34">
        <f t="shared" si="14"/>
        <v>150000</v>
      </c>
      <c r="K93" s="34">
        <f t="shared" si="15"/>
        <v>50000</v>
      </c>
      <c r="L93" s="34">
        <f t="shared" si="49"/>
        <v>1075000</v>
      </c>
      <c r="M93" s="27"/>
      <c r="N93" s="34">
        <f t="shared" si="50"/>
        <v>50000</v>
      </c>
      <c r="O93" s="34">
        <f t="shared" si="51"/>
        <v>100000</v>
      </c>
      <c r="P93" s="34"/>
      <c r="Q93" s="98"/>
      <c r="R93" s="92"/>
      <c r="S93"/>
      <c r="T93" s="92"/>
      <c r="U93" s="92"/>
    </row>
    <row r="94" spans="1:21" s="19" customFormat="1" ht="36.75" customHeight="1" x14ac:dyDescent="0.25">
      <c r="A94" s="96">
        <v>82</v>
      </c>
      <c r="B94" s="172" t="s">
        <v>182</v>
      </c>
      <c r="C94" s="25" t="s">
        <v>183</v>
      </c>
      <c r="D94" s="34">
        <f>+VLOOKUP(B94,'BẢNG LƯƠNG T08.2024'!$B$13:$H$166,6,0)</f>
        <v>3900000</v>
      </c>
      <c r="E94" s="34">
        <f t="shared" si="10"/>
        <v>312000</v>
      </c>
      <c r="F94" s="34">
        <f t="shared" si="11"/>
        <v>58500</v>
      </c>
      <c r="G94" s="34">
        <f t="shared" si="12"/>
        <v>39000</v>
      </c>
      <c r="H94" s="34">
        <f t="shared" si="28"/>
        <v>409500</v>
      </c>
      <c r="I94" s="34">
        <f t="shared" si="13"/>
        <v>682500</v>
      </c>
      <c r="J94" s="34">
        <f t="shared" si="14"/>
        <v>117000</v>
      </c>
      <c r="K94" s="34">
        <f t="shared" si="15"/>
        <v>39000</v>
      </c>
      <c r="L94" s="34">
        <f t="shared" si="29"/>
        <v>838500</v>
      </c>
      <c r="M94" s="27"/>
      <c r="N94" s="34">
        <f t="shared" si="30"/>
        <v>39000</v>
      </c>
      <c r="O94" s="34">
        <f t="shared" si="31"/>
        <v>78000</v>
      </c>
      <c r="P94" s="34"/>
      <c r="Q94" s="98"/>
      <c r="R94" s="92"/>
      <c r="S94"/>
      <c r="T94" s="92"/>
      <c r="U94" s="92"/>
    </row>
    <row r="95" spans="1:21" s="19" customFormat="1" ht="36.75" customHeight="1" x14ac:dyDescent="0.25">
      <c r="A95" s="96">
        <v>83</v>
      </c>
      <c r="B95" s="172" t="s">
        <v>185</v>
      </c>
      <c r="C95" s="25" t="s">
        <v>183</v>
      </c>
      <c r="D95" s="34">
        <f>+VLOOKUP(B95,'BẢNG LƯƠNG T08.2024'!$B$13:$H$166,6,0)</f>
        <v>3900000</v>
      </c>
      <c r="E95" s="34">
        <f t="shared" si="10"/>
        <v>312000</v>
      </c>
      <c r="F95" s="34">
        <f t="shared" si="11"/>
        <v>58500</v>
      </c>
      <c r="G95" s="34">
        <f t="shared" si="12"/>
        <v>39000</v>
      </c>
      <c r="H95" s="34">
        <f t="shared" si="28"/>
        <v>409500</v>
      </c>
      <c r="I95" s="34">
        <f t="shared" si="13"/>
        <v>682500</v>
      </c>
      <c r="J95" s="34">
        <f t="shared" si="14"/>
        <v>117000</v>
      </c>
      <c r="K95" s="34">
        <f t="shared" si="15"/>
        <v>39000</v>
      </c>
      <c r="L95" s="34">
        <f t="shared" si="29"/>
        <v>838500</v>
      </c>
      <c r="M95" s="27"/>
      <c r="N95" s="34">
        <f t="shared" si="30"/>
        <v>39000</v>
      </c>
      <c r="O95" s="34">
        <f t="shared" si="31"/>
        <v>78000</v>
      </c>
      <c r="P95" s="34"/>
      <c r="Q95" s="98"/>
      <c r="R95" s="92"/>
      <c r="S95"/>
      <c r="T95" s="92"/>
      <c r="U95" s="92"/>
    </row>
    <row r="96" spans="1:21" s="19" customFormat="1" ht="36.75" customHeight="1" x14ac:dyDescent="0.25">
      <c r="A96" s="96">
        <v>84</v>
      </c>
      <c r="B96" s="172" t="s">
        <v>187</v>
      </c>
      <c r="C96" s="25" t="s">
        <v>183</v>
      </c>
      <c r="D96" s="34">
        <f>+VLOOKUP(B96,'BẢNG LƯƠNG T08.2024'!$B$13:$H$166,6,0)</f>
        <v>3900000</v>
      </c>
      <c r="E96" s="34">
        <f t="shared" si="10"/>
        <v>312000</v>
      </c>
      <c r="F96" s="34">
        <f t="shared" si="11"/>
        <v>58500</v>
      </c>
      <c r="G96" s="34">
        <f t="shared" si="12"/>
        <v>39000</v>
      </c>
      <c r="H96" s="34">
        <f t="shared" si="28"/>
        <v>409500</v>
      </c>
      <c r="I96" s="34">
        <f t="shared" si="13"/>
        <v>682500</v>
      </c>
      <c r="J96" s="34">
        <f t="shared" si="14"/>
        <v>117000</v>
      </c>
      <c r="K96" s="34">
        <f t="shared" si="15"/>
        <v>39000</v>
      </c>
      <c r="L96" s="34">
        <f t="shared" si="29"/>
        <v>838500</v>
      </c>
      <c r="M96" s="27"/>
      <c r="N96" s="34">
        <f t="shared" si="30"/>
        <v>39000</v>
      </c>
      <c r="O96" s="34">
        <f t="shared" si="31"/>
        <v>78000</v>
      </c>
      <c r="P96" s="34"/>
      <c r="Q96" s="98"/>
      <c r="R96" s="92"/>
      <c r="S96"/>
      <c r="T96" s="92"/>
      <c r="U96" s="92"/>
    </row>
    <row r="97" spans="1:31" s="19" customFormat="1" ht="36.75" customHeight="1" x14ac:dyDescent="0.25">
      <c r="A97" s="96">
        <v>85</v>
      </c>
      <c r="B97" s="172" t="s">
        <v>234</v>
      </c>
      <c r="C97" s="25" t="s">
        <v>183</v>
      </c>
      <c r="D97" s="34">
        <f>+VLOOKUP(B97,'BẢNG LƯƠNG T08.2024'!$B$13:$H$166,6,0)</f>
        <v>3900000</v>
      </c>
      <c r="E97" s="34">
        <f t="shared" si="10"/>
        <v>312000</v>
      </c>
      <c r="F97" s="34">
        <f t="shared" si="11"/>
        <v>58500</v>
      </c>
      <c r="G97" s="34">
        <f t="shared" si="12"/>
        <v>39000</v>
      </c>
      <c r="H97" s="34">
        <f t="shared" si="28"/>
        <v>409500</v>
      </c>
      <c r="I97" s="34">
        <f t="shared" si="13"/>
        <v>682500</v>
      </c>
      <c r="J97" s="34">
        <f t="shared" si="14"/>
        <v>117000</v>
      </c>
      <c r="K97" s="34">
        <f t="shared" si="15"/>
        <v>39000</v>
      </c>
      <c r="L97" s="34">
        <f t="shared" si="29"/>
        <v>838500</v>
      </c>
      <c r="M97" s="27"/>
      <c r="N97" s="34">
        <f t="shared" si="30"/>
        <v>39000</v>
      </c>
      <c r="O97" s="34">
        <f t="shared" si="31"/>
        <v>78000</v>
      </c>
      <c r="P97" s="34"/>
      <c r="Q97" s="98"/>
      <c r="R97" s="92"/>
      <c r="S97"/>
      <c r="T97" s="92"/>
      <c r="U97" s="92"/>
    </row>
    <row r="98" spans="1:31" s="19" customFormat="1" ht="36.75" customHeight="1" x14ac:dyDescent="0.25">
      <c r="A98" s="96">
        <v>86</v>
      </c>
      <c r="B98" s="172" t="s">
        <v>258</v>
      </c>
      <c r="C98" s="25" t="s">
        <v>183</v>
      </c>
      <c r="D98" s="34">
        <f>+VLOOKUP(B98,'BẢNG LƯƠNG T08.2024'!$B$13:$H$166,6,0)</f>
        <v>3900000</v>
      </c>
      <c r="E98" s="34">
        <f t="shared" si="10"/>
        <v>312000</v>
      </c>
      <c r="F98" s="34">
        <f t="shared" si="11"/>
        <v>58500</v>
      </c>
      <c r="G98" s="34">
        <f>$D98*1%</f>
        <v>39000</v>
      </c>
      <c r="H98" s="34">
        <f t="shared" si="28"/>
        <v>409500</v>
      </c>
      <c r="I98" s="34">
        <f t="shared" si="13"/>
        <v>682500</v>
      </c>
      <c r="J98" s="34">
        <f t="shared" si="14"/>
        <v>117000</v>
      </c>
      <c r="K98" s="34">
        <f t="shared" si="15"/>
        <v>39000</v>
      </c>
      <c r="L98" s="34">
        <f t="shared" si="29"/>
        <v>838500</v>
      </c>
      <c r="M98" s="27"/>
      <c r="N98" s="34">
        <f t="shared" si="30"/>
        <v>39000</v>
      </c>
      <c r="O98" s="34">
        <f t="shared" si="31"/>
        <v>78000</v>
      </c>
      <c r="P98" s="34"/>
      <c r="Q98" s="98"/>
      <c r="R98" s="92"/>
      <c r="S98"/>
      <c r="T98" s="92"/>
      <c r="U98" s="92"/>
    </row>
    <row r="99" spans="1:31" s="19" customFormat="1" ht="36.75" customHeight="1" x14ac:dyDescent="0.25">
      <c r="A99" s="96">
        <v>87</v>
      </c>
      <c r="B99" s="172" t="s">
        <v>359</v>
      </c>
      <c r="C99" s="25" t="s">
        <v>183</v>
      </c>
      <c r="D99" s="34">
        <f>+VLOOKUP(B99,'BẢNG LƯƠNG T08.2024'!$B$13:$H$166,6,0)</f>
        <v>3900000</v>
      </c>
      <c r="E99" s="34">
        <f t="shared" si="10"/>
        <v>312000</v>
      </c>
      <c r="F99" s="34">
        <f t="shared" si="11"/>
        <v>58500</v>
      </c>
      <c r="G99" s="34">
        <f>$D99*1%</f>
        <v>39000</v>
      </c>
      <c r="H99" s="34">
        <f t="shared" si="28"/>
        <v>409500</v>
      </c>
      <c r="I99" s="34">
        <f t="shared" si="13"/>
        <v>682500</v>
      </c>
      <c r="J99" s="34">
        <f t="shared" si="14"/>
        <v>117000</v>
      </c>
      <c r="K99" s="34">
        <f t="shared" si="15"/>
        <v>39000</v>
      </c>
      <c r="L99" s="34">
        <f t="shared" si="29"/>
        <v>838500</v>
      </c>
      <c r="M99" s="27"/>
      <c r="N99" s="34">
        <f t="shared" si="30"/>
        <v>39000</v>
      </c>
      <c r="O99" s="34">
        <f t="shared" si="31"/>
        <v>78000</v>
      </c>
      <c r="P99" s="34"/>
      <c r="Q99" s="98"/>
      <c r="R99" s="92"/>
      <c r="S99"/>
      <c r="T99" s="92"/>
      <c r="U99" s="92"/>
    </row>
    <row r="100" spans="1:31" s="19" customFormat="1" ht="36.75" customHeight="1" x14ac:dyDescent="0.25">
      <c r="A100" s="96">
        <v>88</v>
      </c>
      <c r="B100" s="172" t="s">
        <v>259</v>
      </c>
      <c r="C100" s="25" t="s">
        <v>183</v>
      </c>
      <c r="D100" s="34">
        <f>+VLOOKUP(B100,'BẢNG LƯƠNG T08.2024'!$B$13:$H$166,6,0)</f>
        <v>3860000</v>
      </c>
      <c r="E100" s="34">
        <f t="shared" si="10"/>
        <v>308800</v>
      </c>
      <c r="F100" s="34">
        <f t="shared" si="11"/>
        <v>57900</v>
      </c>
      <c r="G100" s="34">
        <f t="shared" si="12"/>
        <v>38600</v>
      </c>
      <c r="H100" s="34">
        <f t="shared" si="28"/>
        <v>405300</v>
      </c>
      <c r="I100" s="34">
        <f t="shared" si="13"/>
        <v>675500</v>
      </c>
      <c r="J100" s="34">
        <f t="shared" si="14"/>
        <v>115800</v>
      </c>
      <c r="K100" s="34">
        <f t="shared" si="15"/>
        <v>38600</v>
      </c>
      <c r="L100" s="34">
        <f t="shared" si="29"/>
        <v>829900</v>
      </c>
      <c r="M100" s="27"/>
      <c r="N100" s="34">
        <f t="shared" si="30"/>
        <v>38600</v>
      </c>
      <c r="O100" s="34">
        <f t="shared" si="31"/>
        <v>77200</v>
      </c>
      <c r="P100" s="34"/>
      <c r="Q100" s="98"/>
      <c r="R100" s="92"/>
      <c r="S100"/>
      <c r="T100" s="92"/>
      <c r="U100" s="92"/>
    </row>
    <row r="101" spans="1:31" s="19" customFormat="1" ht="36.75" customHeight="1" x14ac:dyDescent="0.25">
      <c r="A101" s="96">
        <v>89</v>
      </c>
      <c r="B101" s="172" t="s">
        <v>192</v>
      </c>
      <c r="C101" s="42" t="s">
        <v>348</v>
      </c>
      <c r="D101" s="34">
        <f>+VLOOKUP(B101,'BẢNG LƯƠNG T08.2024'!$B$13:$H$166,6,0)</f>
        <v>5000000</v>
      </c>
      <c r="E101" s="34">
        <f>$D101*8%</f>
        <v>400000</v>
      </c>
      <c r="F101" s="34">
        <f>$D101*1.5%</f>
        <v>75000</v>
      </c>
      <c r="G101" s="34">
        <f>$D101*1%</f>
        <v>50000</v>
      </c>
      <c r="H101" s="34">
        <f>SUM(E101:G101)</f>
        <v>525000</v>
      </c>
      <c r="I101" s="34">
        <f t="shared" si="13"/>
        <v>875000</v>
      </c>
      <c r="J101" s="34">
        <f t="shared" si="14"/>
        <v>150000</v>
      </c>
      <c r="K101" s="34">
        <f t="shared" si="15"/>
        <v>50000</v>
      </c>
      <c r="L101" s="34">
        <f t="shared" si="29"/>
        <v>1075000</v>
      </c>
      <c r="M101" s="27"/>
      <c r="N101" s="34">
        <f t="shared" si="30"/>
        <v>50000</v>
      </c>
      <c r="O101" s="34">
        <f t="shared" si="31"/>
        <v>100000</v>
      </c>
      <c r="P101" s="34"/>
      <c r="Q101" s="98"/>
      <c r="R101" s="92"/>
      <c r="S101"/>
      <c r="T101" s="92"/>
      <c r="U101" s="92"/>
    </row>
    <row r="102" spans="1:31" s="19" customFormat="1" ht="36.75" customHeight="1" x14ac:dyDescent="0.25">
      <c r="A102" s="96">
        <v>90</v>
      </c>
      <c r="B102" s="172" t="s">
        <v>189</v>
      </c>
      <c r="C102" s="42" t="s">
        <v>190</v>
      </c>
      <c r="D102" s="34">
        <f>+VLOOKUP(B102,'BẢNG LƯƠNG T08.2024'!$B$13:$H$166,6,0)</f>
        <v>3900000</v>
      </c>
      <c r="E102" s="34">
        <f t="shared" si="10"/>
        <v>312000</v>
      </c>
      <c r="F102" s="34">
        <f t="shared" si="11"/>
        <v>58500</v>
      </c>
      <c r="G102" s="34">
        <f t="shared" si="12"/>
        <v>39000</v>
      </c>
      <c r="H102" s="34">
        <f t="shared" si="28"/>
        <v>409500</v>
      </c>
      <c r="I102" s="34">
        <f t="shared" si="13"/>
        <v>682500</v>
      </c>
      <c r="J102" s="34">
        <f t="shared" si="14"/>
        <v>117000</v>
      </c>
      <c r="K102" s="34">
        <f t="shared" si="15"/>
        <v>39000</v>
      </c>
      <c r="L102" s="34">
        <f t="shared" si="29"/>
        <v>838500</v>
      </c>
      <c r="M102" s="27"/>
      <c r="N102" s="34">
        <f t="shared" si="30"/>
        <v>39000</v>
      </c>
      <c r="O102" s="34">
        <f t="shared" si="31"/>
        <v>78000</v>
      </c>
      <c r="P102" s="34"/>
      <c r="Q102" s="98"/>
      <c r="R102" s="92"/>
      <c r="S102"/>
      <c r="T102" s="92"/>
      <c r="U102" s="92"/>
    </row>
    <row r="103" spans="1:31" s="19" customFormat="1" ht="36.75" customHeight="1" x14ac:dyDescent="0.25">
      <c r="A103" s="96">
        <v>91</v>
      </c>
      <c r="B103" s="172" t="s">
        <v>194</v>
      </c>
      <c r="C103" s="42" t="s">
        <v>190</v>
      </c>
      <c r="D103" s="34">
        <f>+VLOOKUP(B103,'BẢNG LƯƠNG T08.2024'!$B$13:$H$166,6,0)</f>
        <v>3900000</v>
      </c>
      <c r="E103" s="34">
        <f t="shared" si="10"/>
        <v>312000</v>
      </c>
      <c r="F103" s="34">
        <f t="shared" si="11"/>
        <v>58500</v>
      </c>
      <c r="G103" s="34">
        <f t="shared" si="12"/>
        <v>39000</v>
      </c>
      <c r="H103" s="34">
        <f t="shared" si="28"/>
        <v>409500</v>
      </c>
      <c r="I103" s="34">
        <f t="shared" si="13"/>
        <v>682500</v>
      </c>
      <c r="J103" s="34">
        <f t="shared" si="14"/>
        <v>117000</v>
      </c>
      <c r="K103" s="34">
        <f t="shared" si="15"/>
        <v>39000</v>
      </c>
      <c r="L103" s="34">
        <f t="shared" si="29"/>
        <v>838500</v>
      </c>
      <c r="M103" s="27"/>
      <c r="N103" s="34">
        <f t="shared" si="30"/>
        <v>39000</v>
      </c>
      <c r="O103" s="34">
        <f t="shared" si="31"/>
        <v>78000</v>
      </c>
      <c r="P103" s="34"/>
      <c r="Q103" s="98"/>
      <c r="R103" s="92"/>
      <c r="S103"/>
      <c r="T103" s="92"/>
      <c r="U103" s="92"/>
    </row>
    <row r="104" spans="1:31" s="19" customFormat="1" ht="36.75" customHeight="1" x14ac:dyDescent="0.25">
      <c r="A104" s="96">
        <v>92</v>
      </c>
      <c r="B104" s="172" t="s">
        <v>236</v>
      </c>
      <c r="C104" s="42" t="s">
        <v>190</v>
      </c>
      <c r="D104" s="34">
        <v>5000000</v>
      </c>
      <c r="E104" s="34">
        <f t="shared" si="10"/>
        <v>400000</v>
      </c>
      <c r="F104" s="34">
        <f t="shared" si="11"/>
        <v>75000</v>
      </c>
      <c r="G104" s="34">
        <f t="shared" si="12"/>
        <v>50000</v>
      </c>
      <c r="H104" s="34">
        <f t="shared" si="28"/>
        <v>525000</v>
      </c>
      <c r="I104" s="34">
        <f t="shared" si="13"/>
        <v>875000</v>
      </c>
      <c r="J104" s="34">
        <f t="shared" si="14"/>
        <v>150000</v>
      </c>
      <c r="K104" s="34">
        <f t="shared" si="15"/>
        <v>50000</v>
      </c>
      <c r="L104" s="34">
        <f t="shared" si="29"/>
        <v>1075000</v>
      </c>
      <c r="M104" s="27"/>
      <c r="N104" s="34">
        <f t="shared" si="30"/>
        <v>50000</v>
      </c>
      <c r="O104" s="34">
        <f t="shared" si="31"/>
        <v>100000</v>
      </c>
      <c r="P104" s="34"/>
      <c r="Q104" s="98"/>
      <c r="R104" s="92"/>
      <c r="S104"/>
      <c r="T104" s="92"/>
      <c r="U104" s="92"/>
    </row>
    <row r="105" spans="1:31" s="19" customFormat="1" ht="36.75" customHeight="1" x14ac:dyDescent="0.25">
      <c r="A105" s="96">
        <v>93</v>
      </c>
      <c r="B105" s="172" t="s">
        <v>327</v>
      </c>
      <c r="C105" s="42" t="s">
        <v>190</v>
      </c>
      <c r="D105" s="34">
        <f>+VLOOKUP(B105,'BẢNG LƯƠNG T08.2024'!$B$13:$H$166,6,0)</f>
        <v>3900000</v>
      </c>
      <c r="E105" s="34">
        <f t="shared" si="10"/>
        <v>312000</v>
      </c>
      <c r="F105" s="34">
        <f t="shared" si="11"/>
        <v>58500</v>
      </c>
      <c r="G105" s="34">
        <f t="shared" si="12"/>
        <v>39000</v>
      </c>
      <c r="H105" s="34">
        <f t="shared" si="28"/>
        <v>409500</v>
      </c>
      <c r="I105" s="34">
        <f t="shared" si="13"/>
        <v>682500</v>
      </c>
      <c r="J105" s="34">
        <f t="shared" si="14"/>
        <v>117000</v>
      </c>
      <c r="K105" s="34">
        <f t="shared" si="15"/>
        <v>39000</v>
      </c>
      <c r="L105" s="34">
        <f t="shared" si="29"/>
        <v>838500</v>
      </c>
      <c r="M105" s="27"/>
      <c r="N105" s="34">
        <f t="shared" si="30"/>
        <v>39000</v>
      </c>
      <c r="O105" s="34">
        <f t="shared" si="31"/>
        <v>78000</v>
      </c>
      <c r="P105" s="34"/>
      <c r="Q105" s="98"/>
      <c r="R105" s="92"/>
      <c r="S105"/>
      <c r="T105" s="92"/>
      <c r="U105" s="92"/>
    </row>
    <row r="106" spans="1:31" s="19" customFormat="1" ht="36.75" customHeight="1" x14ac:dyDescent="0.25">
      <c r="A106" s="96">
        <v>94</v>
      </c>
      <c r="B106" s="172" t="s">
        <v>196</v>
      </c>
      <c r="C106" s="25" t="s">
        <v>346</v>
      </c>
      <c r="D106" s="34">
        <f>+VLOOKUP(B106,'BẢNG LƯƠNG T08.2024'!$B$13:$H$166,6,0)</f>
        <v>5000000</v>
      </c>
      <c r="E106" s="34">
        <f t="shared" si="10"/>
        <v>400000</v>
      </c>
      <c r="F106" s="34">
        <f t="shared" si="11"/>
        <v>75000</v>
      </c>
      <c r="G106" s="34">
        <f t="shared" si="12"/>
        <v>50000</v>
      </c>
      <c r="H106" s="34">
        <f t="shared" si="28"/>
        <v>525000</v>
      </c>
      <c r="I106" s="34">
        <f t="shared" si="13"/>
        <v>875000</v>
      </c>
      <c r="J106" s="34">
        <f t="shared" si="14"/>
        <v>150000</v>
      </c>
      <c r="K106" s="34">
        <f t="shared" si="15"/>
        <v>50000</v>
      </c>
      <c r="L106" s="34">
        <f t="shared" si="29"/>
        <v>1075000</v>
      </c>
      <c r="M106" s="27"/>
      <c r="N106" s="34">
        <f t="shared" si="30"/>
        <v>50000</v>
      </c>
      <c r="O106" s="34">
        <f t="shared" si="31"/>
        <v>100000</v>
      </c>
      <c r="P106" s="34"/>
      <c r="Q106" s="98"/>
      <c r="R106" s="92"/>
      <c r="S106"/>
      <c r="T106" s="92"/>
      <c r="U106" s="92"/>
    </row>
    <row r="107" spans="1:31" s="19" customFormat="1" ht="36.75" customHeight="1" x14ac:dyDescent="0.25">
      <c r="A107" s="96">
        <v>95</v>
      </c>
      <c r="B107" s="172" t="s">
        <v>198</v>
      </c>
      <c r="C107" s="42" t="s">
        <v>277</v>
      </c>
      <c r="D107" s="34">
        <f>+VLOOKUP(B107,'BẢNG LƯƠNG T08.2024'!$B$13:$H$166,6,0)</f>
        <v>5000000</v>
      </c>
      <c r="E107" s="34">
        <f t="shared" si="10"/>
        <v>400000</v>
      </c>
      <c r="F107" s="34">
        <f t="shared" si="11"/>
        <v>75000</v>
      </c>
      <c r="G107" s="34">
        <f t="shared" si="12"/>
        <v>50000</v>
      </c>
      <c r="H107" s="34">
        <f t="shared" si="28"/>
        <v>525000</v>
      </c>
      <c r="I107" s="34">
        <f t="shared" si="13"/>
        <v>875000</v>
      </c>
      <c r="J107" s="34">
        <f t="shared" si="14"/>
        <v>150000</v>
      </c>
      <c r="K107" s="34">
        <f t="shared" si="15"/>
        <v>50000</v>
      </c>
      <c r="L107" s="34">
        <f t="shared" si="29"/>
        <v>1075000</v>
      </c>
      <c r="M107" s="27"/>
      <c r="N107" s="34">
        <f t="shared" si="30"/>
        <v>50000</v>
      </c>
      <c r="O107" s="34">
        <f t="shared" si="31"/>
        <v>100000</v>
      </c>
      <c r="P107" s="34"/>
      <c r="Q107" s="98"/>
      <c r="R107" s="92"/>
      <c r="S107"/>
      <c r="T107" s="92"/>
      <c r="U107" s="92"/>
    </row>
    <row r="108" spans="1:31" s="19" customFormat="1" ht="29.25" customHeight="1" x14ac:dyDescent="0.25">
      <c r="A108" s="96">
        <v>96</v>
      </c>
      <c r="B108" s="172" t="s">
        <v>203</v>
      </c>
      <c r="C108" s="42" t="s">
        <v>277</v>
      </c>
      <c r="D108" s="34">
        <f>+VLOOKUP(B108,'BẢNG LƯƠNG T08.2024'!$B$13:$H$166,6,0)</f>
        <v>5000000</v>
      </c>
      <c r="E108" s="34">
        <f t="shared" si="10"/>
        <v>400000</v>
      </c>
      <c r="F108" s="34">
        <f t="shared" si="11"/>
        <v>75000</v>
      </c>
      <c r="G108" s="34">
        <f t="shared" si="12"/>
        <v>50000</v>
      </c>
      <c r="H108" s="34">
        <f t="shared" ref="H108:H120" si="52">SUM(E108:G108)</f>
        <v>525000</v>
      </c>
      <c r="I108" s="34">
        <f t="shared" si="13"/>
        <v>875000</v>
      </c>
      <c r="J108" s="34">
        <f t="shared" si="14"/>
        <v>150000</v>
      </c>
      <c r="K108" s="34">
        <f t="shared" si="15"/>
        <v>50000</v>
      </c>
      <c r="L108" s="34">
        <f t="shared" ref="L108:L120" si="53">SUM(I108:K108)</f>
        <v>1075000</v>
      </c>
      <c r="M108" s="27"/>
      <c r="N108" s="34">
        <f t="shared" ref="N108:N120" si="54">+D108*1%</f>
        <v>50000</v>
      </c>
      <c r="O108" s="34">
        <f t="shared" ref="O108:O120" si="55">+D108*2%</f>
        <v>100000</v>
      </c>
      <c r="P108" s="34"/>
      <c r="Q108" s="98"/>
      <c r="R108" s="92"/>
      <c r="S108"/>
      <c r="T108" s="92"/>
      <c r="U108" s="92"/>
      <c r="V108" s="101"/>
      <c r="AE108" s="94"/>
    </row>
    <row r="109" spans="1:31" s="19" customFormat="1" ht="36.75" customHeight="1" x14ac:dyDescent="0.25">
      <c r="A109" s="96">
        <v>97</v>
      </c>
      <c r="B109" s="172" t="s">
        <v>205</v>
      </c>
      <c r="C109" s="42" t="s">
        <v>277</v>
      </c>
      <c r="D109" s="34">
        <f>+VLOOKUP(B109,'BẢNG LƯƠNG T08.2024'!$B$13:$H$166,6,0)</f>
        <v>5000000</v>
      </c>
      <c r="E109" s="34">
        <f t="shared" si="10"/>
        <v>400000</v>
      </c>
      <c r="F109" s="34">
        <f t="shared" si="11"/>
        <v>75000</v>
      </c>
      <c r="G109" s="34">
        <f t="shared" si="12"/>
        <v>50000</v>
      </c>
      <c r="H109" s="34">
        <f t="shared" si="52"/>
        <v>525000</v>
      </c>
      <c r="I109" s="34">
        <f t="shared" si="13"/>
        <v>875000</v>
      </c>
      <c r="J109" s="34">
        <f t="shared" si="14"/>
        <v>150000</v>
      </c>
      <c r="K109" s="34">
        <f t="shared" si="15"/>
        <v>50000</v>
      </c>
      <c r="L109" s="34">
        <f t="shared" si="53"/>
        <v>1075000</v>
      </c>
      <c r="M109" s="27"/>
      <c r="N109" s="34">
        <f t="shared" si="54"/>
        <v>50000</v>
      </c>
      <c r="O109" s="34">
        <f t="shared" si="55"/>
        <v>100000</v>
      </c>
      <c r="P109" s="34"/>
      <c r="Q109" s="98"/>
      <c r="R109" s="92"/>
      <c r="S109"/>
      <c r="T109" s="92"/>
      <c r="U109" s="92"/>
    </row>
    <row r="110" spans="1:31" s="19" customFormat="1" ht="36.75" customHeight="1" x14ac:dyDescent="0.25">
      <c r="A110" s="96">
        <v>98</v>
      </c>
      <c r="B110" s="172" t="s">
        <v>209</v>
      </c>
      <c r="C110" s="42" t="s">
        <v>277</v>
      </c>
      <c r="D110" s="34">
        <f>+VLOOKUP(B110,'BẢNG LƯƠNG T08.2024'!$B$13:$H$166,6,0)</f>
        <v>3900000</v>
      </c>
      <c r="E110" s="34">
        <f t="shared" si="10"/>
        <v>312000</v>
      </c>
      <c r="F110" s="34">
        <f t="shared" si="11"/>
        <v>58500</v>
      </c>
      <c r="G110" s="34">
        <f t="shared" si="12"/>
        <v>39000</v>
      </c>
      <c r="H110" s="34">
        <f t="shared" si="52"/>
        <v>409500</v>
      </c>
      <c r="I110" s="34">
        <f t="shared" si="13"/>
        <v>682500</v>
      </c>
      <c r="J110" s="34">
        <f t="shared" si="14"/>
        <v>117000</v>
      </c>
      <c r="K110" s="34">
        <f t="shared" si="15"/>
        <v>39000</v>
      </c>
      <c r="L110" s="34">
        <f t="shared" si="53"/>
        <v>838500</v>
      </c>
      <c r="M110" s="27"/>
      <c r="N110" s="34">
        <f t="shared" si="54"/>
        <v>39000</v>
      </c>
      <c r="O110" s="34">
        <f t="shared" si="55"/>
        <v>78000</v>
      </c>
      <c r="P110" s="34"/>
      <c r="Q110" s="98"/>
      <c r="R110" s="92"/>
      <c r="S110"/>
      <c r="T110" s="92"/>
      <c r="U110" s="92"/>
    </row>
    <row r="111" spans="1:31" s="19" customFormat="1" ht="36.75" customHeight="1" x14ac:dyDescent="0.25">
      <c r="A111" s="96">
        <v>99</v>
      </c>
      <c r="B111" s="172" t="s">
        <v>207</v>
      </c>
      <c r="C111" s="42" t="s">
        <v>277</v>
      </c>
      <c r="D111" s="34">
        <f>+VLOOKUP(B111,'BẢNG LƯƠNG T08.2024'!$B$13:$H$166,6,0)</f>
        <v>3900000</v>
      </c>
      <c r="E111" s="34">
        <f t="shared" si="10"/>
        <v>312000</v>
      </c>
      <c r="F111" s="34">
        <f t="shared" si="11"/>
        <v>58500</v>
      </c>
      <c r="G111" s="34">
        <f t="shared" si="12"/>
        <v>39000</v>
      </c>
      <c r="H111" s="34">
        <f t="shared" si="52"/>
        <v>409500</v>
      </c>
      <c r="I111" s="34">
        <f t="shared" si="13"/>
        <v>682500</v>
      </c>
      <c r="J111" s="34">
        <f t="shared" si="14"/>
        <v>117000</v>
      </c>
      <c r="K111" s="34">
        <f t="shared" si="15"/>
        <v>39000</v>
      </c>
      <c r="L111" s="34">
        <f t="shared" si="53"/>
        <v>838500</v>
      </c>
      <c r="M111" s="27"/>
      <c r="N111" s="34">
        <f t="shared" si="54"/>
        <v>39000</v>
      </c>
      <c r="O111" s="34">
        <f t="shared" si="55"/>
        <v>78000</v>
      </c>
      <c r="P111" s="34"/>
      <c r="Q111" s="98"/>
      <c r="R111" s="92"/>
      <c r="S111"/>
      <c r="T111" s="92"/>
      <c r="U111" s="92"/>
    </row>
    <row r="112" spans="1:31" s="19" customFormat="1" ht="36.75" customHeight="1" x14ac:dyDescent="0.25">
      <c r="A112" s="96">
        <v>100</v>
      </c>
      <c r="B112" s="172" t="s">
        <v>201</v>
      </c>
      <c r="C112" s="42" t="s">
        <v>277</v>
      </c>
      <c r="D112" s="34">
        <f>+VLOOKUP(B112,'BẢNG LƯƠNG T08.2024'!$B$13:$H$166,6,0)</f>
        <v>3900000</v>
      </c>
      <c r="E112" s="34">
        <f t="shared" si="10"/>
        <v>312000</v>
      </c>
      <c r="F112" s="34">
        <f t="shared" si="11"/>
        <v>58500</v>
      </c>
      <c r="G112" s="34">
        <f t="shared" si="12"/>
        <v>39000</v>
      </c>
      <c r="H112" s="34">
        <f t="shared" si="52"/>
        <v>409500</v>
      </c>
      <c r="I112" s="34">
        <f t="shared" si="13"/>
        <v>682500</v>
      </c>
      <c r="J112" s="34">
        <f t="shared" si="14"/>
        <v>117000</v>
      </c>
      <c r="K112" s="34">
        <f t="shared" si="15"/>
        <v>39000</v>
      </c>
      <c r="L112" s="34">
        <f t="shared" si="53"/>
        <v>838500</v>
      </c>
      <c r="M112" s="27"/>
      <c r="N112" s="34">
        <f t="shared" si="54"/>
        <v>39000</v>
      </c>
      <c r="O112" s="34">
        <f t="shared" si="55"/>
        <v>78000</v>
      </c>
      <c r="P112" s="34"/>
      <c r="Q112" s="98"/>
      <c r="R112" s="92"/>
      <c r="S112"/>
      <c r="T112" s="92"/>
      <c r="U112" s="92"/>
    </row>
    <row r="113" spans="1:29" s="19" customFormat="1" ht="36.75" customHeight="1" x14ac:dyDescent="0.25">
      <c r="A113" s="96">
        <v>101</v>
      </c>
      <c r="B113" s="172" t="s">
        <v>211</v>
      </c>
      <c r="C113" s="42" t="s">
        <v>277</v>
      </c>
      <c r="D113" s="34">
        <f>+VLOOKUP(B113,'BẢNG LƯƠNG T08.2024'!$B$13:$H$166,6,0)</f>
        <v>3900000</v>
      </c>
      <c r="E113" s="34">
        <f>$D113*8%</f>
        <v>312000</v>
      </c>
      <c r="F113" s="34">
        <f>$D113*1.5%</f>
        <v>58500</v>
      </c>
      <c r="G113" s="34">
        <f>$D113*1%</f>
        <v>39000</v>
      </c>
      <c r="H113" s="34">
        <f t="shared" si="52"/>
        <v>409500</v>
      </c>
      <c r="I113" s="34">
        <f>$D113*17.5%</f>
        <v>682500</v>
      </c>
      <c r="J113" s="34">
        <f>$D113*3%</f>
        <v>117000</v>
      </c>
      <c r="K113" s="34">
        <f>$D113*1%</f>
        <v>39000</v>
      </c>
      <c r="L113" s="34">
        <f t="shared" si="53"/>
        <v>838500</v>
      </c>
      <c r="M113" s="27"/>
      <c r="N113" s="34">
        <f t="shared" si="54"/>
        <v>39000</v>
      </c>
      <c r="O113" s="34">
        <f t="shared" si="55"/>
        <v>78000</v>
      </c>
      <c r="P113" s="34"/>
      <c r="Q113" s="98"/>
      <c r="R113" s="92"/>
      <c r="S113"/>
      <c r="T113" s="92"/>
      <c r="U113" s="92"/>
    </row>
    <row r="114" spans="1:29" s="19" customFormat="1" ht="36.75" customHeight="1" x14ac:dyDescent="0.25">
      <c r="A114" s="96">
        <v>102</v>
      </c>
      <c r="B114" s="172" t="s">
        <v>213</v>
      </c>
      <c r="C114" s="42" t="s">
        <v>277</v>
      </c>
      <c r="D114" s="34">
        <f>+VLOOKUP(B114,'BẢNG LƯƠNG T08.2024'!$B$13:$H$166,6,0)</f>
        <v>5000000</v>
      </c>
      <c r="E114" s="34">
        <f t="shared" ref="E114:E119" si="56">$D114*8%</f>
        <v>400000</v>
      </c>
      <c r="F114" s="34">
        <f t="shared" ref="F114:F119" si="57">$D114*1.5%</f>
        <v>75000</v>
      </c>
      <c r="G114" s="34">
        <f t="shared" ref="G114:G119" si="58">$D114*1%</f>
        <v>50000</v>
      </c>
      <c r="H114" s="34">
        <f t="shared" si="52"/>
        <v>525000</v>
      </c>
      <c r="I114" s="34">
        <f t="shared" ref="I114:I119" si="59">$D114*17.5%</f>
        <v>875000</v>
      </c>
      <c r="J114" s="34">
        <f t="shared" ref="J114:J119" si="60">$D114*3%</f>
        <v>150000</v>
      </c>
      <c r="K114" s="34">
        <f t="shared" ref="K114:K119" si="61">$D114*1%</f>
        <v>50000</v>
      </c>
      <c r="L114" s="34">
        <f t="shared" si="53"/>
        <v>1075000</v>
      </c>
      <c r="M114" s="27"/>
      <c r="N114" s="34">
        <f t="shared" si="54"/>
        <v>50000</v>
      </c>
      <c r="O114" s="34">
        <f t="shared" si="55"/>
        <v>100000</v>
      </c>
      <c r="P114" s="34"/>
      <c r="Q114" s="98"/>
      <c r="R114" s="92"/>
      <c r="S114"/>
      <c r="T114" s="92"/>
      <c r="U114" s="92"/>
    </row>
    <row r="115" spans="1:29" s="19" customFormat="1" ht="36.75" customHeight="1" x14ac:dyDescent="0.25">
      <c r="A115" s="96">
        <v>103</v>
      </c>
      <c r="B115" s="172" t="s">
        <v>215</v>
      </c>
      <c r="C115" s="42" t="s">
        <v>277</v>
      </c>
      <c r="D115" s="34">
        <f>+VLOOKUP(B115,'BẢNG LƯƠNG T08.2024'!$B$13:$H$166,6,0)</f>
        <v>5000000</v>
      </c>
      <c r="E115" s="34">
        <f t="shared" si="56"/>
        <v>400000</v>
      </c>
      <c r="F115" s="34">
        <f t="shared" si="57"/>
        <v>75000</v>
      </c>
      <c r="G115" s="34">
        <f t="shared" si="58"/>
        <v>50000</v>
      </c>
      <c r="H115" s="34">
        <f t="shared" si="52"/>
        <v>525000</v>
      </c>
      <c r="I115" s="34">
        <f t="shared" si="59"/>
        <v>875000</v>
      </c>
      <c r="J115" s="34">
        <f t="shared" si="60"/>
        <v>150000</v>
      </c>
      <c r="K115" s="34">
        <f t="shared" si="61"/>
        <v>50000</v>
      </c>
      <c r="L115" s="34">
        <f t="shared" si="53"/>
        <v>1075000</v>
      </c>
      <c r="M115" s="27"/>
      <c r="N115" s="34">
        <f t="shared" si="54"/>
        <v>50000</v>
      </c>
      <c r="O115" s="34">
        <f t="shared" si="55"/>
        <v>100000</v>
      </c>
      <c r="P115" s="34"/>
      <c r="Q115" s="98"/>
      <c r="R115" s="92"/>
      <c r="S115"/>
      <c r="T115" s="92"/>
      <c r="U115" s="92"/>
    </row>
    <row r="116" spans="1:29" s="19" customFormat="1" ht="36.75" customHeight="1" x14ac:dyDescent="0.25">
      <c r="A116" s="96">
        <v>104</v>
      </c>
      <c r="B116" s="172" t="s">
        <v>217</v>
      </c>
      <c r="C116" s="42" t="s">
        <v>277</v>
      </c>
      <c r="D116" s="34">
        <f>+VLOOKUP(B116,'BẢNG LƯƠNG T08.2024'!$B$13:$H$166,6,0)</f>
        <v>3900000</v>
      </c>
      <c r="E116" s="34">
        <f t="shared" si="56"/>
        <v>312000</v>
      </c>
      <c r="F116" s="34">
        <f t="shared" si="57"/>
        <v>58500</v>
      </c>
      <c r="G116" s="34">
        <f t="shared" si="58"/>
        <v>39000</v>
      </c>
      <c r="H116" s="34">
        <f t="shared" si="52"/>
        <v>409500</v>
      </c>
      <c r="I116" s="34">
        <f t="shared" si="59"/>
        <v>682500</v>
      </c>
      <c r="J116" s="34">
        <f t="shared" si="60"/>
        <v>117000</v>
      </c>
      <c r="K116" s="34">
        <f t="shared" si="61"/>
        <v>39000</v>
      </c>
      <c r="L116" s="34">
        <f t="shared" si="53"/>
        <v>838500</v>
      </c>
      <c r="M116" s="27"/>
      <c r="N116" s="34">
        <f t="shared" si="54"/>
        <v>39000</v>
      </c>
      <c r="O116" s="34">
        <f t="shared" si="55"/>
        <v>78000</v>
      </c>
      <c r="P116" s="34"/>
      <c r="Q116" s="98"/>
      <c r="R116" s="92"/>
      <c r="S116"/>
      <c r="T116" s="92"/>
      <c r="U116" s="92"/>
    </row>
    <row r="117" spans="1:29" s="19" customFormat="1" ht="36.75" customHeight="1" x14ac:dyDescent="0.25">
      <c r="A117" s="96">
        <v>105</v>
      </c>
      <c r="B117" s="172" t="s">
        <v>219</v>
      </c>
      <c r="C117" s="42" t="s">
        <v>277</v>
      </c>
      <c r="D117" s="34">
        <f>+VLOOKUP(B117,'BẢNG LƯƠNG T08.2024'!$B$13:$H$166,6,0)</f>
        <v>3900000</v>
      </c>
      <c r="E117" s="34">
        <f t="shared" si="56"/>
        <v>312000</v>
      </c>
      <c r="F117" s="34">
        <f t="shared" si="57"/>
        <v>58500</v>
      </c>
      <c r="G117" s="34">
        <f t="shared" si="58"/>
        <v>39000</v>
      </c>
      <c r="H117" s="34">
        <f t="shared" si="52"/>
        <v>409500</v>
      </c>
      <c r="I117" s="34">
        <f t="shared" si="59"/>
        <v>682500</v>
      </c>
      <c r="J117" s="34">
        <f t="shared" si="60"/>
        <v>117000</v>
      </c>
      <c r="K117" s="34">
        <f t="shared" si="61"/>
        <v>39000</v>
      </c>
      <c r="L117" s="34">
        <f t="shared" si="53"/>
        <v>838500</v>
      </c>
      <c r="M117" s="27"/>
      <c r="N117" s="34">
        <f t="shared" si="54"/>
        <v>39000</v>
      </c>
      <c r="O117" s="34">
        <f t="shared" si="55"/>
        <v>78000</v>
      </c>
      <c r="P117" s="34"/>
      <c r="Q117" s="98"/>
      <c r="R117" s="92"/>
      <c r="S117"/>
      <c r="T117" s="92"/>
      <c r="U117" s="92"/>
    </row>
    <row r="118" spans="1:29" s="19" customFormat="1" ht="36.75" customHeight="1" x14ac:dyDescent="0.25">
      <c r="A118" s="96">
        <v>106</v>
      </c>
      <c r="B118" s="172" t="s">
        <v>223</v>
      </c>
      <c r="C118" s="42" t="s">
        <v>277</v>
      </c>
      <c r="D118" s="34">
        <f>+VLOOKUP(B118,'BẢNG LƯƠNG T08.2024'!$B$13:$H$166,6,0)</f>
        <v>3900000</v>
      </c>
      <c r="E118" s="34">
        <f t="shared" si="56"/>
        <v>312000</v>
      </c>
      <c r="F118" s="34">
        <f t="shared" si="57"/>
        <v>58500</v>
      </c>
      <c r="G118" s="34">
        <f t="shared" si="58"/>
        <v>39000</v>
      </c>
      <c r="H118" s="34">
        <f t="shared" si="52"/>
        <v>409500</v>
      </c>
      <c r="I118" s="34">
        <f t="shared" si="59"/>
        <v>682500</v>
      </c>
      <c r="J118" s="34">
        <f t="shared" si="60"/>
        <v>117000</v>
      </c>
      <c r="K118" s="34">
        <f t="shared" si="61"/>
        <v>39000</v>
      </c>
      <c r="L118" s="34">
        <f t="shared" si="53"/>
        <v>838500</v>
      </c>
      <c r="M118" s="27"/>
      <c r="N118" s="34">
        <f t="shared" si="54"/>
        <v>39000</v>
      </c>
      <c r="O118" s="34">
        <f t="shared" si="55"/>
        <v>78000</v>
      </c>
      <c r="P118" s="34"/>
      <c r="Q118" s="98"/>
      <c r="R118" s="92"/>
      <c r="S118"/>
      <c r="T118" s="92"/>
      <c r="U118" s="92"/>
    </row>
    <row r="119" spans="1:29" s="19" customFormat="1" ht="36.75" customHeight="1" x14ac:dyDescent="0.25">
      <c r="A119" s="96">
        <v>107</v>
      </c>
      <c r="B119" s="172" t="s">
        <v>221</v>
      </c>
      <c r="C119" s="42" t="s">
        <v>277</v>
      </c>
      <c r="D119" s="34">
        <f>+VLOOKUP(B119,'BẢNG LƯƠNG T08.2024'!$B$13:$H$166,6,0)</f>
        <v>3900000</v>
      </c>
      <c r="E119" s="34">
        <f t="shared" si="56"/>
        <v>312000</v>
      </c>
      <c r="F119" s="34">
        <f t="shared" si="57"/>
        <v>58500</v>
      </c>
      <c r="G119" s="34">
        <f t="shared" si="58"/>
        <v>39000</v>
      </c>
      <c r="H119" s="34">
        <f t="shared" si="52"/>
        <v>409500</v>
      </c>
      <c r="I119" s="34">
        <f t="shared" si="59"/>
        <v>682500</v>
      </c>
      <c r="J119" s="34">
        <f t="shared" si="60"/>
        <v>117000</v>
      </c>
      <c r="K119" s="34">
        <f t="shared" si="61"/>
        <v>39000</v>
      </c>
      <c r="L119" s="34">
        <f t="shared" si="53"/>
        <v>838500</v>
      </c>
      <c r="M119" s="27"/>
      <c r="N119" s="34">
        <f t="shared" si="54"/>
        <v>39000</v>
      </c>
      <c r="O119" s="34">
        <f t="shared" si="55"/>
        <v>78000</v>
      </c>
      <c r="P119" s="34"/>
      <c r="Q119" s="98"/>
      <c r="R119" s="92"/>
      <c r="S119"/>
      <c r="T119" s="92"/>
      <c r="U119" s="92"/>
    </row>
    <row r="120" spans="1:29" s="19" customFormat="1" ht="36.75" customHeight="1" x14ac:dyDescent="0.25">
      <c r="A120" s="96">
        <v>108</v>
      </c>
      <c r="B120" s="172" t="s">
        <v>225</v>
      </c>
      <c r="C120" s="42" t="s">
        <v>277</v>
      </c>
      <c r="D120" s="34">
        <f>+VLOOKUP(B120,'BẢNG LƯƠNG T08.2024'!$B$13:$H$166,6,0)</f>
        <v>3900000</v>
      </c>
      <c r="E120" s="34">
        <f>$D120*8%</f>
        <v>312000</v>
      </c>
      <c r="F120" s="34">
        <f>$D120*1.5%</f>
        <v>58500</v>
      </c>
      <c r="G120" s="34">
        <f>$D120*1%</f>
        <v>39000</v>
      </c>
      <c r="H120" s="34">
        <f t="shared" si="52"/>
        <v>409500</v>
      </c>
      <c r="I120" s="34">
        <f>$D120*17.5%</f>
        <v>682500</v>
      </c>
      <c r="J120" s="34">
        <f>$D120*3%</f>
        <v>117000</v>
      </c>
      <c r="K120" s="34">
        <f>$D120*1%</f>
        <v>39000</v>
      </c>
      <c r="L120" s="34">
        <f t="shared" si="53"/>
        <v>838500</v>
      </c>
      <c r="M120" s="27"/>
      <c r="N120" s="34">
        <f t="shared" si="54"/>
        <v>39000</v>
      </c>
      <c r="O120" s="34">
        <f t="shared" si="55"/>
        <v>78000</v>
      </c>
      <c r="P120" s="34"/>
      <c r="Q120" s="98"/>
      <c r="R120" s="92"/>
      <c r="S120"/>
      <c r="T120" s="92"/>
      <c r="U120" s="92"/>
    </row>
    <row r="121" spans="1:29" s="19" customFormat="1" ht="36.75" customHeight="1" x14ac:dyDescent="0.25">
      <c r="A121" s="96">
        <v>109</v>
      </c>
      <c r="B121" s="172" t="s">
        <v>227</v>
      </c>
      <c r="C121" s="42" t="s">
        <v>277</v>
      </c>
      <c r="D121" s="34">
        <f>+VLOOKUP(B121,'BẢNG LƯƠNG T08.2024'!$B$13:$H$166,6,0)</f>
        <v>3900000</v>
      </c>
      <c r="E121" s="34">
        <f>$D121*8%</f>
        <v>312000</v>
      </c>
      <c r="F121" s="34">
        <f>$D121*1.5%</f>
        <v>58500</v>
      </c>
      <c r="G121" s="34">
        <f>$D121*1%</f>
        <v>39000</v>
      </c>
      <c r="H121" s="34">
        <f t="shared" ref="H121" si="62">SUM(E121:G121)</f>
        <v>409500</v>
      </c>
      <c r="I121" s="34">
        <f>$D121*17.5%</f>
        <v>682500</v>
      </c>
      <c r="J121" s="34">
        <f>$D121*3%</f>
        <v>117000</v>
      </c>
      <c r="K121" s="34">
        <f>$D121*1%</f>
        <v>39000</v>
      </c>
      <c r="L121" s="34">
        <f t="shared" ref="L121" si="63">SUM(I121:K121)</f>
        <v>838500</v>
      </c>
      <c r="M121" s="27"/>
      <c r="N121" s="34">
        <f t="shared" ref="N121" si="64">+D121*1%</f>
        <v>39000</v>
      </c>
      <c r="O121" s="34">
        <f t="shared" ref="O121" si="65">+D121*2%</f>
        <v>78000</v>
      </c>
      <c r="P121" s="34"/>
      <c r="Q121" s="98"/>
      <c r="R121" s="92"/>
      <c r="S121"/>
      <c r="T121" s="92"/>
      <c r="U121" s="92"/>
    </row>
    <row r="122" spans="1:29" s="19" customFormat="1" ht="36.75" customHeight="1" x14ac:dyDescent="0.25">
      <c r="A122" s="96">
        <v>110</v>
      </c>
      <c r="B122" s="172" t="s">
        <v>233</v>
      </c>
      <c r="C122" s="42" t="s">
        <v>277</v>
      </c>
      <c r="D122" s="34">
        <f>+VLOOKUP(B122,'BẢNG LƯƠNG T08.2024'!$B$13:$H$166,6,0)</f>
        <v>3900000</v>
      </c>
      <c r="E122" s="34">
        <f>$D122*8%</f>
        <v>312000</v>
      </c>
      <c r="F122" s="34">
        <f>$D122*1.5%</f>
        <v>58500</v>
      </c>
      <c r="G122" s="34">
        <f>$D122*1%</f>
        <v>39000</v>
      </c>
      <c r="H122" s="34">
        <f t="shared" ref="H122:H124" si="66">SUM(E122:G122)</f>
        <v>409500</v>
      </c>
      <c r="I122" s="34">
        <f>$D122*17.5%</f>
        <v>682500</v>
      </c>
      <c r="J122" s="34">
        <f>$D122*3%</f>
        <v>117000</v>
      </c>
      <c r="K122" s="34">
        <f>$D122*1%</f>
        <v>39000</v>
      </c>
      <c r="L122" s="34">
        <f t="shared" ref="L122:L124" si="67">SUM(I122:K122)</f>
        <v>838500</v>
      </c>
      <c r="M122" s="27"/>
      <c r="N122" s="34">
        <f t="shared" ref="N122:N124" si="68">+D122*1%</f>
        <v>39000</v>
      </c>
      <c r="O122" s="34">
        <f t="shared" ref="O122:O124" si="69">+D122*2%</f>
        <v>78000</v>
      </c>
      <c r="P122" s="34"/>
      <c r="Q122" s="98"/>
      <c r="R122" s="92"/>
      <c r="S122"/>
      <c r="T122" s="92"/>
      <c r="U122" s="92"/>
    </row>
    <row r="123" spans="1:29" s="19" customFormat="1" ht="36.75" customHeight="1" x14ac:dyDescent="0.25">
      <c r="A123" s="96">
        <v>111</v>
      </c>
      <c r="B123" s="172" t="s">
        <v>329</v>
      </c>
      <c r="C123" s="42" t="s">
        <v>277</v>
      </c>
      <c r="D123" s="34">
        <f>+VLOOKUP(B123,'BẢNG LƯƠNG T08.2024'!$B$13:$H$166,6,0)</f>
        <v>3900000</v>
      </c>
      <c r="E123" s="34">
        <f>$D123*8%</f>
        <v>312000</v>
      </c>
      <c r="F123" s="34">
        <f>$D123*1.5%</f>
        <v>58500</v>
      </c>
      <c r="G123" s="34">
        <f>$D123*1%</f>
        <v>39000</v>
      </c>
      <c r="H123" s="34">
        <f t="shared" ref="H123" si="70">SUM(E123:G123)</f>
        <v>409500</v>
      </c>
      <c r="I123" s="34">
        <f>$D123*17.5%</f>
        <v>682500</v>
      </c>
      <c r="J123" s="34">
        <f>$D123*3%</f>
        <v>117000</v>
      </c>
      <c r="K123" s="34">
        <f>$D123*1%</f>
        <v>39000</v>
      </c>
      <c r="L123" s="34">
        <f t="shared" ref="L123" si="71">SUM(I123:K123)</f>
        <v>838500</v>
      </c>
      <c r="M123" s="27"/>
      <c r="N123" s="34">
        <f t="shared" ref="N123" si="72">+D123*1%</f>
        <v>39000</v>
      </c>
      <c r="O123" s="34">
        <f t="shared" ref="O123" si="73">+D123*2%</f>
        <v>78000</v>
      </c>
      <c r="P123" s="34"/>
      <c r="Q123" s="98"/>
      <c r="R123" s="92"/>
      <c r="S123"/>
      <c r="T123" s="92"/>
      <c r="U123" s="92"/>
    </row>
    <row r="124" spans="1:29" s="19" customFormat="1" ht="36.75" customHeight="1" x14ac:dyDescent="0.25">
      <c r="A124" s="96">
        <v>112</v>
      </c>
      <c r="B124" s="172" t="s">
        <v>337</v>
      </c>
      <c r="C124" s="42" t="s">
        <v>277</v>
      </c>
      <c r="D124" s="34">
        <f>+VLOOKUP(B124,'BẢNG LƯƠNG T08.2024'!$B$13:$H$166,6,0)</f>
        <v>3900000</v>
      </c>
      <c r="E124" s="34">
        <f>$D124*8%</f>
        <v>312000</v>
      </c>
      <c r="F124" s="34">
        <f>$D124*1.5%</f>
        <v>58500</v>
      </c>
      <c r="G124" s="34">
        <f>$D124*1%</f>
        <v>39000</v>
      </c>
      <c r="H124" s="34">
        <f t="shared" si="66"/>
        <v>409500</v>
      </c>
      <c r="I124" s="34">
        <f>$D124*17.5%</f>
        <v>682500</v>
      </c>
      <c r="J124" s="34">
        <f>$D124*3%</f>
        <v>117000</v>
      </c>
      <c r="K124" s="34">
        <f>$D124*1%</f>
        <v>39000</v>
      </c>
      <c r="L124" s="34">
        <f t="shared" si="67"/>
        <v>838500</v>
      </c>
      <c r="M124" s="27"/>
      <c r="N124" s="34">
        <f t="shared" si="68"/>
        <v>39000</v>
      </c>
      <c r="O124" s="34">
        <f t="shared" si="69"/>
        <v>78000</v>
      </c>
      <c r="P124" s="34"/>
      <c r="Q124" s="98"/>
      <c r="R124" s="92"/>
      <c r="S124"/>
      <c r="T124" s="92"/>
      <c r="U124" s="92"/>
    </row>
    <row r="125" spans="1:29" s="19" customFormat="1" ht="25.5" customHeight="1" x14ac:dyDescent="0.25">
      <c r="A125" s="226" t="s">
        <v>250</v>
      </c>
      <c r="B125" s="227"/>
      <c r="C125" s="228"/>
      <c r="D125" s="102">
        <f>+SUBTOTAL(9,D10:D124)</f>
        <v>469000000</v>
      </c>
      <c r="E125" s="103">
        <f t="shared" ref="E125:L125" si="74">+SUBTOTAL(9,E10:E124)</f>
        <v>37520000</v>
      </c>
      <c r="F125" s="103">
        <f t="shared" si="74"/>
        <v>7035000</v>
      </c>
      <c r="G125" s="103">
        <f t="shared" si="74"/>
        <v>4690000</v>
      </c>
      <c r="H125" s="102">
        <f t="shared" si="74"/>
        <v>49245000</v>
      </c>
      <c r="I125" s="56">
        <f t="shared" si="74"/>
        <v>82075000</v>
      </c>
      <c r="J125" s="56">
        <f t="shared" si="74"/>
        <v>14070000</v>
      </c>
      <c r="K125" s="56">
        <f t="shared" si="74"/>
        <v>4690000</v>
      </c>
      <c r="L125" s="102">
        <f t="shared" si="74"/>
        <v>100835000</v>
      </c>
      <c r="M125" s="57">
        <f>+M10+M14+M31</f>
        <v>150080000</v>
      </c>
      <c r="N125" s="103">
        <f>+SUBTOTAL(9,N10:N124)</f>
        <v>4740000</v>
      </c>
      <c r="O125" s="103">
        <f>+SUBTOTAL(9,O10:O124)</f>
        <v>9480000</v>
      </c>
      <c r="P125" s="104">
        <f>+P10+P14+P31</f>
        <v>14220000</v>
      </c>
      <c r="R125" s="90"/>
      <c r="S125" s="105"/>
      <c r="T125" s="92"/>
      <c r="U125" s="92"/>
    </row>
    <row r="126" spans="1:29" x14ac:dyDescent="0.25">
      <c r="G126" s="4"/>
      <c r="H126" s="4"/>
      <c r="I126" s="4"/>
      <c r="J126" s="4"/>
      <c r="K126" s="4"/>
      <c r="L126" s="4"/>
      <c r="M126"/>
      <c r="N126"/>
      <c r="O126"/>
      <c r="P126"/>
      <c r="Q126"/>
      <c r="R126" s="62"/>
      <c r="S126" s="4"/>
      <c r="T126" s="4"/>
      <c r="U126" s="4"/>
      <c r="V126" s="106"/>
      <c r="W126" s="106"/>
      <c r="X126" s="106"/>
      <c r="Y126" s="106"/>
      <c r="Z126" s="106"/>
      <c r="AA126" s="106"/>
      <c r="AC126" s="61"/>
    </row>
    <row r="127" spans="1:29" ht="15.75" x14ac:dyDescent="0.25">
      <c r="A127" s="107"/>
      <c r="B127" s="229" t="s">
        <v>251</v>
      </c>
      <c r="C127" s="229"/>
      <c r="D127" s="108"/>
      <c r="E127" s="108"/>
      <c r="F127" s="230" t="s">
        <v>278</v>
      </c>
      <c r="G127" s="230"/>
      <c r="H127" s="109"/>
      <c r="K127" s="109"/>
      <c r="L127" s="209" t="s">
        <v>253</v>
      </c>
      <c r="M127" s="209"/>
      <c r="N127" s="76"/>
      <c r="O127" s="76"/>
      <c r="P127" s="76"/>
      <c r="T127" s="4"/>
      <c r="U127" s="4"/>
      <c r="V127" s="106"/>
      <c r="W127" s="106"/>
      <c r="X127" s="106"/>
      <c r="Y127" s="106"/>
      <c r="Z127" s="106"/>
      <c r="AA127" s="106"/>
      <c r="AC127" s="61"/>
    </row>
    <row r="128" spans="1:29" ht="15.75" x14ac:dyDescent="0.25">
      <c r="A128" s="19"/>
      <c r="B128" s="194" t="s">
        <v>254</v>
      </c>
      <c r="C128" s="194"/>
      <c r="D128" s="72"/>
      <c r="E128" s="72"/>
      <c r="F128" s="194" t="s">
        <v>279</v>
      </c>
      <c r="G128" s="194"/>
      <c r="H128" s="72"/>
      <c r="K128" s="72"/>
      <c r="L128" s="194" t="s">
        <v>254</v>
      </c>
      <c r="M128" s="194"/>
      <c r="N128" s="71"/>
      <c r="O128" s="71"/>
      <c r="P128" s="71"/>
      <c r="T128" s="4"/>
      <c r="U128" s="4"/>
      <c r="V128" s="106"/>
      <c r="W128" s="106"/>
      <c r="X128" s="106"/>
      <c r="Y128" s="106"/>
      <c r="Z128" s="106"/>
      <c r="AA128" s="106"/>
      <c r="AC128" s="61"/>
    </row>
    <row r="129" spans="5:29" x14ac:dyDescent="0.25">
      <c r="F129" s="4"/>
      <c r="G129" s="4"/>
      <c r="T129" s="4"/>
      <c r="U129" s="4"/>
      <c r="V129" s="106"/>
      <c r="W129" s="106"/>
      <c r="X129" s="106"/>
      <c r="Y129" s="106"/>
      <c r="Z129" s="106"/>
      <c r="AA129" s="106"/>
      <c r="AC129" s="61"/>
    </row>
    <row r="130" spans="5:29" x14ac:dyDescent="0.25">
      <c r="E130" s="63"/>
      <c r="F130"/>
      <c r="G130"/>
      <c r="H130"/>
      <c r="I130"/>
      <c r="J130"/>
      <c r="K130"/>
      <c r="L130"/>
      <c r="M130"/>
      <c r="N130"/>
      <c r="O130"/>
      <c r="P130"/>
      <c r="Q130"/>
      <c r="R130" s="62"/>
      <c r="S130"/>
      <c r="T130"/>
      <c r="U130" s="4"/>
      <c r="V130" s="106"/>
      <c r="W130" s="106"/>
      <c r="X130" s="106"/>
      <c r="Y130" s="106"/>
      <c r="Z130" s="106"/>
      <c r="AA130" s="106"/>
      <c r="AC130" s="61"/>
    </row>
    <row r="131" spans="5:29" x14ac:dyDescent="0.25">
      <c r="E131"/>
      <c r="F131"/>
      <c r="G131"/>
      <c r="H131"/>
      <c r="I131"/>
      <c r="J131"/>
      <c r="K131"/>
      <c r="L131"/>
      <c r="M131"/>
      <c r="N131"/>
      <c r="O131"/>
      <c r="P131"/>
      <c r="Q131"/>
      <c r="R131" s="62"/>
      <c r="S131"/>
      <c r="T131"/>
      <c r="U131" s="4"/>
      <c r="V131" s="106"/>
      <c r="W131" s="106"/>
      <c r="X131" s="106"/>
      <c r="Y131" s="106"/>
      <c r="Z131" s="106"/>
      <c r="AA131" s="106"/>
      <c r="AC131" s="61"/>
    </row>
    <row r="132" spans="5:29" x14ac:dyDescent="0.25">
      <c r="E132"/>
      <c r="F132"/>
      <c r="G132"/>
      <c r="H132"/>
      <c r="I132"/>
      <c r="J132"/>
      <c r="K132"/>
      <c r="L132"/>
      <c r="M132"/>
      <c r="N132"/>
      <c r="O132"/>
      <c r="P132"/>
      <c r="Q132"/>
      <c r="R132" s="62"/>
      <c r="S132"/>
      <c r="T132"/>
      <c r="U132" s="4"/>
      <c r="V132" s="106"/>
      <c r="W132" s="106"/>
      <c r="X132" s="106"/>
      <c r="Y132" s="106"/>
      <c r="Z132" s="106"/>
      <c r="AA132" s="106"/>
      <c r="AC132" s="61"/>
    </row>
    <row r="133" spans="5:29" x14ac:dyDescent="0.25">
      <c r="E133"/>
      <c r="F133"/>
      <c r="G133"/>
      <c r="H133"/>
      <c r="I133"/>
      <c r="J133"/>
      <c r="K133"/>
      <c r="L133"/>
      <c r="M133"/>
      <c r="N133"/>
      <c r="O133"/>
      <c r="P133"/>
      <c r="Q133"/>
      <c r="R133" s="62"/>
      <c r="S133"/>
      <c r="T133"/>
    </row>
    <row r="134" spans="5:29" x14ac:dyDescent="0.25">
      <c r="E134"/>
      <c r="F134"/>
      <c r="G134"/>
      <c r="H134"/>
      <c r="I134"/>
      <c r="J134"/>
      <c r="K134"/>
      <c r="L134"/>
      <c r="M134"/>
      <c r="N134"/>
      <c r="O134"/>
      <c r="P134"/>
      <c r="Q134"/>
      <c r="R134" s="62"/>
      <c r="S134"/>
      <c r="T134"/>
    </row>
    <row r="135" spans="5:29" x14ac:dyDescent="0.25">
      <c r="E135"/>
      <c r="F135"/>
      <c r="G135"/>
      <c r="H135"/>
      <c r="I135" s="63"/>
      <c r="J135"/>
      <c r="K135"/>
      <c r="L135"/>
      <c r="M135"/>
      <c r="N135"/>
      <c r="O135"/>
      <c r="P135"/>
      <c r="Q135"/>
      <c r="R135" s="62"/>
      <c r="S135"/>
      <c r="T135"/>
    </row>
    <row r="136" spans="5:29" x14ac:dyDescent="0.25">
      <c r="E136"/>
      <c r="F136"/>
      <c r="G136"/>
      <c r="H136"/>
      <c r="I136"/>
      <c r="J136"/>
      <c r="K136"/>
      <c r="L136"/>
      <c r="M136"/>
      <c r="N136"/>
      <c r="O136"/>
      <c r="P136"/>
      <c r="Q136"/>
      <c r="R136" s="62"/>
      <c r="S136"/>
      <c r="T136"/>
    </row>
    <row r="137" spans="5:29" x14ac:dyDescent="0.25">
      <c r="E137"/>
      <c r="F137"/>
      <c r="G137"/>
      <c r="H137"/>
      <c r="I137"/>
      <c r="J137"/>
      <c r="K137"/>
      <c r="L137"/>
      <c r="M137"/>
      <c r="N137"/>
      <c r="O137"/>
      <c r="P137"/>
      <c r="Q137"/>
      <c r="R137" s="62"/>
      <c r="S137"/>
      <c r="T137"/>
    </row>
    <row r="138" spans="5:29" x14ac:dyDescent="0.25">
      <c r="E138"/>
      <c r="F138"/>
      <c r="G138"/>
      <c r="H138"/>
      <c r="I138"/>
      <c r="J138"/>
      <c r="K138"/>
      <c r="L138"/>
      <c r="M138"/>
      <c r="N138"/>
      <c r="O138"/>
      <c r="P138"/>
      <c r="Q138"/>
      <c r="R138" s="62"/>
      <c r="S138"/>
      <c r="T138"/>
    </row>
    <row r="139" spans="5:29" x14ac:dyDescent="0.25">
      <c r="E139"/>
      <c r="F139"/>
      <c r="G139"/>
      <c r="H139"/>
      <c r="I139"/>
      <c r="J139"/>
      <c r="K139"/>
      <c r="L139"/>
      <c r="M139"/>
      <c r="N139"/>
      <c r="O139"/>
      <c r="P139"/>
      <c r="Q139"/>
      <c r="R139" s="62"/>
      <c r="S139"/>
      <c r="T139"/>
    </row>
    <row r="140" spans="5:29" x14ac:dyDescent="0.25">
      <c r="E140"/>
      <c r="F140"/>
      <c r="G140"/>
      <c r="H140"/>
      <c r="I140"/>
      <c r="J140"/>
      <c r="K140"/>
      <c r="L140"/>
      <c r="M140"/>
      <c r="N140"/>
      <c r="O140"/>
      <c r="P140"/>
      <c r="Q140"/>
      <c r="R140" s="62"/>
      <c r="S140"/>
      <c r="T140"/>
    </row>
    <row r="141" spans="5:29" x14ac:dyDescent="0.25">
      <c r="E141"/>
      <c r="F141"/>
      <c r="G141"/>
      <c r="H141"/>
      <c r="I141"/>
      <c r="J141"/>
      <c r="K141"/>
      <c r="L141"/>
      <c r="M141"/>
      <c r="N141"/>
      <c r="O141"/>
      <c r="P141"/>
      <c r="Q141"/>
      <c r="R141" s="62"/>
      <c r="S141"/>
      <c r="T141"/>
    </row>
    <row r="142" spans="5:29" x14ac:dyDescent="0.25">
      <c r="E142"/>
      <c r="F142"/>
      <c r="G142"/>
      <c r="H142"/>
      <c r="I142"/>
      <c r="J142"/>
      <c r="K142"/>
      <c r="L142"/>
      <c r="M142"/>
      <c r="N142"/>
      <c r="O142"/>
      <c r="P142"/>
      <c r="Q142"/>
      <c r="R142" s="62"/>
      <c r="S142"/>
      <c r="T142"/>
    </row>
    <row r="143" spans="5:29" x14ac:dyDescent="0.25">
      <c r="E143"/>
      <c r="F143"/>
      <c r="G143"/>
      <c r="H143"/>
      <c r="I143"/>
      <c r="J143"/>
      <c r="K143"/>
      <c r="L143"/>
      <c r="M143"/>
      <c r="N143"/>
      <c r="O143"/>
      <c r="P143"/>
      <c r="Q143"/>
      <c r="R143" s="62"/>
      <c r="S143"/>
      <c r="T143"/>
    </row>
  </sheetData>
  <mergeCells count="20">
    <mergeCell ref="A5:P5"/>
    <mergeCell ref="A6:P6"/>
    <mergeCell ref="A8:A9"/>
    <mergeCell ref="B8:B9"/>
    <mergeCell ref="C8:C9"/>
    <mergeCell ref="D8:D9"/>
    <mergeCell ref="E8:H8"/>
    <mergeCell ref="J8:L8"/>
    <mergeCell ref="M8:M9"/>
    <mergeCell ref="N8:N9"/>
    <mergeCell ref="Q8:Q9"/>
    <mergeCell ref="A125:C125"/>
    <mergeCell ref="B127:C127"/>
    <mergeCell ref="F127:G127"/>
    <mergeCell ref="L127:M127"/>
    <mergeCell ref="B128:C128"/>
    <mergeCell ref="F128:G128"/>
    <mergeCell ref="L128:M128"/>
    <mergeCell ref="O8:O9"/>
    <mergeCell ref="P8:P9"/>
  </mergeCells>
  <pageMargins left="0.3" right="0.2" top="0.51" bottom="0.4" header="0.48" footer="0.39"/>
  <pageSetup scale="62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11BD1-A915-4EEB-BA15-683419CCDFE8}">
  <dimension ref="A1:J54"/>
  <sheetViews>
    <sheetView workbookViewId="0">
      <selection activeCell="C8" sqref="C8"/>
    </sheetView>
  </sheetViews>
  <sheetFormatPr defaultRowHeight="15" x14ac:dyDescent="0.25"/>
  <cols>
    <col min="1" max="1" width="5" customWidth="1"/>
    <col min="2" max="2" width="22.140625" customWidth="1"/>
    <col min="3" max="3" width="22.5703125" customWidth="1"/>
    <col min="4" max="4" width="6.28515625" customWidth="1"/>
    <col min="5" max="5" width="27.7109375" customWidth="1"/>
    <col min="6" max="6" width="17.28515625" customWidth="1"/>
    <col min="8" max="8" width="10.7109375" bestFit="1" customWidth="1"/>
    <col min="10" max="10" width="11.5703125" bestFit="1" customWidth="1"/>
  </cols>
  <sheetData>
    <row r="1" spans="1:8" ht="15.75" thickBot="1" x14ac:dyDescent="0.3">
      <c r="F1" s="110" t="s">
        <v>283</v>
      </c>
      <c r="H1" s="111">
        <v>45535</v>
      </c>
    </row>
    <row r="2" spans="1:8" ht="21" customHeight="1" thickTop="1" x14ac:dyDescent="0.25">
      <c r="A2" s="235" t="s">
        <v>316</v>
      </c>
      <c r="B2" s="236"/>
      <c r="C2" s="236"/>
      <c r="D2" s="236"/>
      <c r="E2" s="236"/>
      <c r="F2" s="237"/>
      <c r="H2" s="111">
        <v>45534</v>
      </c>
    </row>
    <row r="3" spans="1:8" ht="21" customHeight="1" thickBot="1" x14ac:dyDescent="0.3">
      <c r="A3" s="238" t="s">
        <v>284</v>
      </c>
      <c r="B3" s="239"/>
      <c r="C3" s="239"/>
      <c r="D3" s="239"/>
      <c r="E3" s="239"/>
      <c r="F3" s="240"/>
    </row>
    <row r="4" spans="1:8" ht="24" customHeight="1" thickTop="1" thickBot="1" x14ac:dyDescent="0.3">
      <c r="A4" s="241" t="str">
        <f>"PHIẾU LƯƠNG "&amp;MONTH($H$1)&amp;"/"&amp;YEAR($H$1)</f>
        <v>PHIẾU LƯƠNG 8/2024</v>
      </c>
      <c r="B4" s="242"/>
      <c r="C4" s="242"/>
      <c r="D4" s="242"/>
      <c r="E4" s="242"/>
      <c r="F4" s="243"/>
    </row>
    <row r="5" spans="1:8" ht="21.75" customHeight="1" thickTop="1" thickBot="1" x14ac:dyDescent="0.3">
      <c r="A5" s="244" t="str">
        <f>"Ngày lập: Ngày "&amp;DAY($H$2)&amp;" tháng "&amp;MONTH($H$2)&amp;" năm "&amp;YEAR($H$2)&amp;"                                                     Ngày thanh toán: "&amp;DAY($H$2)&amp;" tháng "&amp;MONTH($H$2)&amp;" năm "&amp;YEAR($H$2)</f>
        <v>Ngày lập: Ngày 30 tháng 8 năm 2024                                                     Ngày thanh toán: 30 tháng 8 năm 2024</v>
      </c>
      <c r="B5" s="245"/>
      <c r="C5" s="245"/>
      <c r="D5" s="245"/>
      <c r="E5" s="245"/>
      <c r="F5" s="246"/>
    </row>
    <row r="6" spans="1:8" ht="19.5" customHeight="1" thickTop="1" x14ac:dyDescent="0.25">
      <c r="A6" s="247" t="s">
        <v>285</v>
      </c>
      <c r="B6" s="248"/>
      <c r="C6" s="150"/>
      <c r="D6" s="249" t="s">
        <v>286</v>
      </c>
      <c r="E6" s="250"/>
      <c r="F6" s="145">
        <f>VLOOKUP($C$7,'BẢNG LƯƠNG T08.2024'!$B$13:$AG$166,6,0)</f>
        <v>3900000</v>
      </c>
    </row>
    <row r="7" spans="1:8" ht="15.75" x14ac:dyDescent="0.25">
      <c r="A7" s="251" t="s">
        <v>287</v>
      </c>
      <c r="B7" s="252"/>
      <c r="C7" s="152" t="str">
        <f>'BẢNG LƯƠNG T08.2024'!B71</f>
        <v>Bùi Ngọc Sang</v>
      </c>
      <c r="D7" s="253" t="s">
        <v>288</v>
      </c>
      <c r="E7" s="254"/>
      <c r="F7" s="147">
        <f>VLOOKUP($C$7,'BẢNG LƯƠNG T08.2024'!$B$13:$AG$166,16,0)</f>
        <v>900000</v>
      </c>
    </row>
    <row r="8" spans="1:8" ht="19.5" customHeight="1" thickBot="1" x14ac:dyDescent="0.3">
      <c r="A8" s="255" t="s">
        <v>289</v>
      </c>
      <c r="B8" s="256"/>
      <c r="C8" s="151"/>
      <c r="D8" s="257" t="s">
        <v>290</v>
      </c>
      <c r="E8" s="258"/>
      <c r="F8" s="115" t="str">
        <f>VLOOKUP($C$7,'BẢNG LƯƠNG T08.2024'!$B$13:$AG$166,4,0)</f>
        <v>HĐ 1 năm</v>
      </c>
    </row>
    <row r="9" spans="1:8" ht="21" customHeight="1" thickTop="1" x14ac:dyDescent="0.25">
      <c r="A9" s="116" t="s">
        <v>6</v>
      </c>
      <c r="B9" s="117" t="s">
        <v>291</v>
      </c>
      <c r="C9" s="118"/>
      <c r="D9" s="116" t="s">
        <v>6</v>
      </c>
      <c r="E9" s="117" t="s">
        <v>292</v>
      </c>
      <c r="F9" s="119"/>
    </row>
    <row r="10" spans="1:8" ht="21" customHeight="1" x14ac:dyDescent="0.25">
      <c r="A10" s="156">
        <v>1</v>
      </c>
      <c r="B10" s="121" t="s">
        <v>293</v>
      </c>
      <c r="C10" s="122">
        <f>VLOOKUP($C$7,'BẢNG LƯƠNG T08.2024'!$B$13:$AG$166,5,0)</f>
        <v>24</v>
      </c>
      <c r="D10" s="156">
        <v>1</v>
      </c>
      <c r="E10" s="121" t="s">
        <v>294</v>
      </c>
      <c r="F10" s="122">
        <f>SUM(F11:F13)</f>
        <v>409500</v>
      </c>
    </row>
    <row r="11" spans="1:8" ht="15.75" x14ac:dyDescent="0.25">
      <c r="A11" s="156">
        <v>2</v>
      </c>
      <c r="B11" s="121" t="s">
        <v>295</v>
      </c>
      <c r="C11" s="122">
        <f>SUM(C12:C14)</f>
        <v>0</v>
      </c>
      <c r="D11" s="120">
        <v>1.1000000000000001</v>
      </c>
      <c r="E11" s="121" t="s">
        <v>296</v>
      </c>
      <c r="F11" s="147">
        <f>$F$6*8%</f>
        <v>312000</v>
      </c>
    </row>
    <row r="12" spans="1:8" ht="15.75" x14ac:dyDescent="0.25">
      <c r="A12" s="123">
        <v>2.1</v>
      </c>
      <c r="B12" s="124" t="s">
        <v>333</v>
      </c>
      <c r="C12" s="113">
        <f>VLOOKUP($C$7,'BẢNG LƯƠNG T08.2024'!$B$13:$AG$166,9,0)</f>
        <v>0</v>
      </c>
      <c r="D12" s="120">
        <v>1.2</v>
      </c>
      <c r="E12" s="121" t="s">
        <v>297</v>
      </c>
      <c r="F12" s="147">
        <f>$F$6*1.5%</f>
        <v>58500</v>
      </c>
    </row>
    <row r="13" spans="1:8" ht="15.75" x14ac:dyDescent="0.25">
      <c r="A13" s="123">
        <v>2.2000000000000002</v>
      </c>
      <c r="B13" s="124" t="s">
        <v>301</v>
      </c>
      <c r="C13" s="125"/>
      <c r="D13" s="120">
        <v>1.3</v>
      </c>
      <c r="E13" s="121" t="s">
        <v>298</v>
      </c>
      <c r="F13" s="147">
        <f>$F$6*1%</f>
        <v>39000</v>
      </c>
    </row>
    <row r="14" spans="1:8" ht="15.75" x14ac:dyDescent="0.25">
      <c r="A14" s="123">
        <v>2.2999999999999998</v>
      </c>
      <c r="B14" s="124" t="s">
        <v>317</v>
      </c>
      <c r="C14" s="113">
        <f>VLOOKUP($C$7,'BẢNG LƯƠNG T08.2024'!$B$13:$AI$166,13,0)</f>
        <v>0</v>
      </c>
      <c r="D14" s="156">
        <v>2</v>
      </c>
      <c r="E14" s="121" t="s">
        <v>300</v>
      </c>
      <c r="F14" s="146">
        <f>VLOOKUP($C$7,'BẢNG LƯƠNG T08.2024'!$B$13:$AG$166,27,0)</f>
        <v>0</v>
      </c>
    </row>
    <row r="15" spans="1:8" ht="15.75" x14ac:dyDescent="0.25">
      <c r="A15" s="156">
        <v>3</v>
      </c>
      <c r="B15" s="124" t="s">
        <v>304</v>
      </c>
      <c r="C15" s="122">
        <f>VLOOKUP($C$7,'BẢNG LƯƠNG T08.2024'!$B$13:$AG$166,15,0)</f>
        <v>1000000</v>
      </c>
      <c r="D15" s="156">
        <v>3</v>
      </c>
      <c r="E15" s="121" t="s">
        <v>302</v>
      </c>
      <c r="F15" s="126"/>
    </row>
    <row r="16" spans="1:8" ht="15.75" x14ac:dyDescent="0.25">
      <c r="A16" s="181">
        <v>4</v>
      </c>
      <c r="B16" s="182" t="s">
        <v>305</v>
      </c>
      <c r="C16" s="183"/>
      <c r="D16" s="156">
        <v>4</v>
      </c>
      <c r="E16" s="121" t="s">
        <v>315</v>
      </c>
      <c r="F16" s="146">
        <f>$F$6*1%</f>
        <v>39000</v>
      </c>
    </row>
    <row r="17" spans="1:10" ht="16.5" thickBot="1" x14ac:dyDescent="0.3">
      <c r="A17" s="263" t="s">
        <v>430</v>
      </c>
      <c r="B17" s="263"/>
      <c r="C17" s="185">
        <f>C10+C11+C15</f>
        <v>1000024</v>
      </c>
      <c r="D17" s="180"/>
      <c r="E17" s="121"/>
      <c r="F17" s="122"/>
    </row>
    <row r="18" spans="1:10" ht="17.25" customHeight="1" thickTop="1" thickBot="1" x14ac:dyDescent="0.3">
      <c r="A18" s="259" t="s">
        <v>17</v>
      </c>
      <c r="B18" s="260"/>
      <c r="C18" s="184">
        <f>VLOOKUP($C$7,'BẢNG LƯƠNG T08.2024'!$B$13:$AG$166,18,0)</f>
        <v>0</v>
      </c>
      <c r="D18" s="261" t="s">
        <v>306</v>
      </c>
      <c r="E18" s="262"/>
      <c r="F18" s="129">
        <f>F10+F14+F15+F16+F17</f>
        <v>448500</v>
      </c>
    </row>
    <row r="19" spans="1:10" ht="17.25" thickTop="1" thickBot="1" x14ac:dyDescent="0.3">
      <c r="A19" s="264" t="s">
        <v>307</v>
      </c>
      <c r="B19" s="265"/>
      <c r="C19" s="266"/>
      <c r="D19" s="267">
        <f>VLOOKUP($C$7,'BẢNG LƯƠNG T08.2024'!$B$13:$AG$166,29,0)</f>
        <v>39000</v>
      </c>
      <c r="E19" s="268"/>
      <c r="F19" s="269"/>
    </row>
    <row r="20" spans="1:10" ht="17.25" thickTop="1" thickBot="1" x14ac:dyDescent="0.3">
      <c r="A20" s="270" t="s">
        <v>308</v>
      </c>
      <c r="B20" s="271"/>
      <c r="C20" s="272"/>
      <c r="D20" s="267">
        <f>VLOOKUP($C$7,'BẢNG LƯƠNG T08.2024'!$B$13:$AG$166,30,0)</f>
        <v>3659833</v>
      </c>
      <c r="E20" s="268"/>
      <c r="F20" s="269"/>
    </row>
    <row r="21" spans="1:10" ht="36.75" customHeight="1" thickTop="1" thickBot="1" x14ac:dyDescent="0.3">
      <c r="A21" s="273" t="s">
        <v>309</v>
      </c>
      <c r="B21" s="274"/>
      <c r="C21" s="275"/>
      <c r="D21" s="276" t="e">
        <f ca="1">[2]!vnd(D20)</f>
        <v>#NAME?</v>
      </c>
      <c r="E21" s="277"/>
      <c r="F21" s="278"/>
      <c r="J21" s="149"/>
    </row>
    <row r="22" spans="1:10" ht="17.25" thickTop="1" thickBot="1" x14ac:dyDescent="0.3">
      <c r="A22" s="270" t="s">
        <v>310</v>
      </c>
      <c r="B22" s="271"/>
      <c r="C22" s="272"/>
      <c r="D22" s="280">
        <f>+D19-D20</f>
        <v>-3620833</v>
      </c>
      <c r="E22" s="281"/>
      <c r="F22" s="282"/>
    </row>
    <row r="23" spans="1:10" ht="16.5" thickTop="1" x14ac:dyDescent="0.25">
      <c r="A23" s="130"/>
      <c r="B23" s="130"/>
      <c r="C23" s="130"/>
      <c r="D23" s="130"/>
      <c r="E23" s="130"/>
      <c r="F23" s="130"/>
    </row>
    <row r="24" spans="1:10" ht="15.75" x14ac:dyDescent="0.25">
      <c r="A24" s="283" t="s">
        <v>311</v>
      </c>
      <c r="B24" s="283"/>
      <c r="C24" s="131"/>
      <c r="D24" s="131"/>
      <c r="E24" s="283" t="s">
        <v>312</v>
      </c>
      <c r="F24" s="283"/>
    </row>
    <row r="25" spans="1:10" ht="15.75" x14ac:dyDescent="0.25">
      <c r="A25" s="130"/>
      <c r="B25" s="130" t="s">
        <v>313</v>
      </c>
      <c r="C25" s="130"/>
      <c r="D25" s="130"/>
      <c r="E25" s="284" t="s">
        <v>313</v>
      </c>
      <c r="F25" s="284"/>
    </row>
    <row r="30" spans="1:10" ht="15.75" thickBot="1" x14ac:dyDescent="0.3">
      <c r="A30" s="132"/>
      <c r="B30" s="132"/>
      <c r="C30" s="132"/>
      <c r="D30" s="132"/>
      <c r="E30" s="132"/>
      <c r="F30" s="133" t="s">
        <v>314</v>
      </c>
    </row>
    <row r="31" spans="1:10" ht="16.5" thickTop="1" x14ac:dyDescent="0.25">
      <c r="A31" s="235" t="s">
        <v>316</v>
      </c>
      <c r="B31" s="236"/>
      <c r="C31" s="236"/>
      <c r="D31" s="236"/>
      <c r="E31" s="236"/>
      <c r="F31" s="237"/>
    </row>
    <row r="32" spans="1:10" ht="16.5" thickBot="1" x14ac:dyDescent="0.3">
      <c r="A32" s="238" t="s">
        <v>284</v>
      </c>
      <c r="B32" s="239"/>
      <c r="C32" s="239"/>
      <c r="D32" s="239"/>
      <c r="E32" s="239"/>
      <c r="F32" s="240"/>
    </row>
    <row r="33" spans="1:6" ht="20.25" thickTop="1" thickBot="1" x14ac:dyDescent="0.3">
      <c r="A33" s="241" t="str">
        <f>"PHIẾU LƯƠNG "&amp;MONTH($H$1)&amp;"/"&amp;YEAR($H$1)</f>
        <v>PHIẾU LƯƠNG 8/2024</v>
      </c>
      <c r="B33" s="242"/>
      <c r="C33" s="242"/>
      <c r="D33" s="242"/>
      <c r="E33" s="242"/>
      <c r="F33" s="243"/>
    </row>
    <row r="34" spans="1:6" ht="17.25" thickTop="1" thickBot="1" x14ac:dyDescent="0.3">
      <c r="A34" s="244" t="str">
        <f>+A5</f>
        <v>Ngày lập: Ngày 30 tháng 8 năm 2024                                                     Ngày thanh toán: 30 tháng 8 năm 2024</v>
      </c>
      <c r="B34" s="245"/>
      <c r="C34" s="245"/>
      <c r="D34" s="245"/>
      <c r="E34" s="245"/>
      <c r="F34" s="246"/>
    </row>
    <row r="35" spans="1:6" ht="16.5" thickTop="1" x14ac:dyDescent="0.25">
      <c r="A35" s="247" t="s">
        <v>285</v>
      </c>
      <c r="B35" s="248"/>
      <c r="C35" s="112"/>
      <c r="D35" s="249" t="s">
        <v>286</v>
      </c>
      <c r="E35" s="250"/>
      <c r="F35" s="153">
        <f>F6</f>
        <v>3900000</v>
      </c>
    </row>
    <row r="36" spans="1:6" ht="15.75" x14ac:dyDescent="0.25">
      <c r="A36" s="251" t="s">
        <v>287</v>
      </c>
      <c r="B36" s="279"/>
      <c r="C36" s="134" t="str">
        <f>C7</f>
        <v>Bùi Ngọc Sang</v>
      </c>
      <c r="D36" s="253" t="s">
        <v>288</v>
      </c>
      <c r="E36" s="254"/>
      <c r="F36" s="135">
        <f>F7</f>
        <v>900000</v>
      </c>
    </row>
    <row r="37" spans="1:6" ht="16.5" thickBot="1" x14ac:dyDescent="0.3">
      <c r="A37" s="255" t="s">
        <v>289</v>
      </c>
      <c r="B37" s="256"/>
      <c r="C37" s="114">
        <f>+C8</f>
        <v>0</v>
      </c>
      <c r="D37" s="257" t="s">
        <v>290</v>
      </c>
      <c r="E37" s="258"/>
      <c r="F37" s="127" t="str">
        <f>F8</f>
        <v>HĐ 1 năm</v>
      </c>
    </row>
    <row r="38" spans="1:6" ht="32.25" thickTop="1" x14ac:dyDescent="0.25">
      <c r="A38" s="116" t="s">
        <v>6</v>
      </c>
      <c r="B38" s="117" t="s">
        <v>291</v>
      </c>
      <c r="C38" s="118"/>
      <c r="D38" s="116" t="s">
        <v>6</v>
      </c>
      <c r="E38" s="117" t="s">
        <v>292</v>
      </c>
      <c r="F38" s="119"/>
    </row>
    <row r="39" spans="1:6" ht="15.75" x14ac:dyDescent="0.25">
      <c r="A39" s="156">
        <v>1</v>
      </c>
      <c r="B39" s="121" t="s">
        <v>293</v>
      </c>
      <c r="C39" s="136">
        <f>C10</f>
        <v>24</v>
      </c>
      <c r="D39" s="156">
        <v>1</v>
      </c>
      <c r="E39" s="121" t="s">
        <v>294</v>
      </c>
      <c r="F39" s="137">
        <f>F10</f>
        <v>409500</v>
      </c>
    </row>
    <row r="40" spans="1:6" ht="15.75" x14ac:dyDescent="0.25">
      <c r="A40" s="156">
        <v>2</v>
      </c>
      <c r="B40" s="121" t="s">
        <v>295</v>
      </c>
      <c r="C40" s="138">
        <f>C11</f>
        <v>0</v>
      </c>
      <c r="D40" s="120">
        <v>1.1000000000000001</v>
      </c>
      <c r="E40" s="121" t="s">
        <v>296</v>
      </c>
      <c r="F40" s="139">
        <f>F11</f>
        <v>312000</v>
      </c>
    </row>
    <row r="41" spans="1:6" ht="15.75" x14ac:dyDescent="0.25">
      <c r="A41" s="123">
        <v>2.1</v>
      </c>
      <c r="B41" s="124" t="s">
        <v>299</v>
      </c>
      <c r="C41" s="140">
        <f>C12</f>
        <v>0</v>
      </c>
      <c r="D41" s="120">
        <v>1.2</v>
      </c>
      <c r="E41" s="121" t="s">
        <v>297</v>
      </c>
      <c r="F41" s="139">
        <f>F12</f>
        <v>58500</v>
      </c>
    </row>
    <row r="42" spans="1:6" ht="15.75" x14ac:dyDescent="0.25">
      <c r="A42" s="123">
        <v>2.2000000000000002</v>
      </c>
      <c r="B42" s="124" t="s">
        <v>301</v>
      </c>
      <c r="C42" s="140"/>
      <c r="D42" s="120">
        <v>1.3</v>
      </c>
      <c r="E42" s="121" t="s">
        <v>298</v>
      </c>
      <c r="F42" s="139">
        <f>F13</f>
        <v>39000</v>
      </c>
    </row>
    <row r="43" spans="1:6" ht="15.75" x14ac:dyDescent="0.25">
      <c r="A43" s="123">
        <v>2.2999999999999998</v>
      </c>
      <c r="B43" s="124" t="s">
        <v>317</v>
      </c>
      <c r="C43" s="140">
        <f>C14</f>
        <v>0</v>
      </c>
      <c r="D43" s="156">
        <v>2</v>
      </c>
      <c r="E43" s="121" t="s">
        <v>300</v>
      </c>
      <c r="F43" s="126">
        <f>F14</f>
        <v>0</v>
      </c>
    </row>
    <row r="44" spans="1:6" ht="15.75" x14ac:dyDescent="0.25">
      <c r="A44" s="156">
        <v>3</v>
      </c>
      <c r="B44" s="143" t="s">
        <v>304</v>
      </c>
      <c r="C44" s="144">
        <f>C15</f>
        <v>1000000</v>
      </c>
      <c r="D44" s="156">
        <v>3</v>
      </c>
      <c r="E44" s="121" t="str">
        <f>+E15</f>
        <v>Tạm ứng</v>
      </c>
      <c r="F44" s="141"/>
    </row>
    <row r="45" spans="1:6" ht="15.75" x14ac:dyDescent="0.25">
      <c r="A45" s="156">
        <v>4</v>
      </c>
      <c r="B45" s="154" t="s">
        <v>305</v>
      </c>
      <c r="C45" s="126">
        <f>C16</f>
        <v>0</v>
      </c>
      <c r="D45" s="156">
        <v>4</v>
      </c>
      <c r="E45" s="121" t="s">
        <v>303</v>
      </c>
      <c r="F45" s="142">
        <f>F16</f>
        <v>39000</v>
      </c>
    </row>
    <row r="46" spans="1:6" ht="16.5" thickBot="1" x14ac:dyDescent="0.3">
      <c r="A46" s="155"/>
      <c r="D46" s="156">
        <v>5</v>
      </c>
      <c r="E46" s="121" t="s">
        <v>332</v>
      </c>
      <c r="F46" s="157">
        <f>F17</f>
        <v>0</v>
      </c>
    </row>
    <row r="47" spans="1:6" ht="17.25" thickTop="1" thickBot="1" x14ac:dyDescent="0.3">
      <c r="A47" s="261" t="s">
        <v>306</v>
      </c>
      <c r="B47" s="262"/>
      <c r="C47" s="128">
        <f>C18</f>
        <v>0</v>
      </c>
      <c r="D47" s="261" t="s">
        <v>306</v>
      </c>
      <c r="E47" s="262"/>
      <c r="F47" s="129">
        <f>F18</f>
        <v>448500</v>
      </c>
    </row>
    <row r="48" spans="1:6" ht="17.25" thickTop="1" thickBot="1" x14ac:dyDescent="0.3">
      <c r="A48" s="264" t="s">
        <v>307</v>
      </c>
      <c r="B48" s="265"/>
      <c r="C48" s="266"/>
      <c r="D48" s="280">
        <f>D19</f>
        <v>39000</v>
      </c>
      <c r="E48" s="281"/>
      <c r="F48" s="282"/>
    </row>
    <row r="49" spans="1:6" ht="17.25" thickTop="1" thickBot="1" x14ac:dyDescent="0.3">
      <c r="A49" s="270" t="s">
        <v>308</v>
      </c>
      <c r="B49" s="271"/>
      <c r="C49" s="272"/>
      <c r="D49" s="285">
        <f>+D20</f>
        <v>3659833</v>
      </c>
      <c r="E49" s="286"/>
      <c r="F49" s="287"/>
    </row>
    <row r="50" spans="1:6" ht="17.25" thickTop="1" thickBot="1" x14ac:dyDescent="0.3">
      <c r="A50" s="288" t="s">
        <v>309</v>
      </c>
      <c r="B50" s="289"/>
      <c r="C50" s="290"/>
      <c r="D50" s="276" t="e">
        <f ca="1">D21</f>
        <v>#NAME?</v>
      </c>
      <c r="E50" s="277"/>
      <c r="F50" s="278"/>
    </row>
    <row r="51" spans="1:6" ht="17.25" thickTop="1" thickBot="1" x14ac:dyDescent="0.3">
      <c r="A51" s="270" t="s">
        <v>310</v>
      </c>
      <c r="B51" s="271"/>
      <c r="C51" s="272"/>
      <c r="D51" s="280">
        <f>+D22</f>
        <v>-3620833</v>
      </c>
      <c r="E51" s="281"/>
      <c r="F51" s="282"/>
    </row>
    <row r="52" spans="1:6" ht="16.5" thickTop="1" x14ac:dyDescent="0.25">
      <c r="A52" s="130"/>
      <c r="B52" s="130"/>
      <c r="C52" s="130"/>
      <c r="D52" s="130"/>
      <c r="E52" s="130"/>
      <c r="F52" s="130"/>
    </row>
    <row r="53" spans="1:6" ht="15.75" x14ac:dyDescent="0.25">
      <c r="A53" s="283" t="s">
        <v>311</v>
      </c>
      <c r="B53" s="283"/>
      <c r="C53" s="131"/>
      <c r="D53" s="131"/>
      <c r="E53" s="283" t="s">
        <v>312</v>
      </c>
      <c r="F53" s="283"/>
    </row>
    <row r="54" spans="1:6" ht="15.75" x14ac:dyDescent="0.25">
      <c r="A54" s="130"/>
      <c r="B54" s="130" t="s">
        <v>313</v>
      </c>
      <c r="C54" s="130"/>
      <c r="D54" s="130"/>
      <c r="E54" s="284" t="s">
        <v>313</v>
      </c>
      <c r="F54" s="284"/>
    </row>
  </sheetData>
  <mergeCells count="47">
    <mergeCell ref="A53:B53"/>
    <mergeCell ref="E53:F53"/>
    <mergeCell ref="E54:F54"/>
    <mergeCell ref="A49:C49"/>
    <mergeCell ref="D49:F49"/>
    <mergeCell ref="A50:C50"/>
    <mergeCell ref="D50:F50"/>
    <mergeCell ref="A51:C51"/>
    <mergeCell ref="D51:F51"/>
    <mergeCell ref="A37:B37"/>
    <mergeCell ref="D37:E37"/>
    <mergeCell ref="A47:B47"/>
    <mergeCell ref="D47:E47"/>
    <mergeCell ref="A48:C48"/>
    <mergeCell ref="D48:F48"/>
    <mergeCell ref="A36:B36"/>
    <mergeCell ref="D36:E36"/>
    <mergeCell ref="A22:C22"/>
    <mergeCell ref="D22:F22"/>
    <mergeCell ref="A24:B24"/>
    <mergeCell ref="E24:F24"/>
    <mergeCell ref="E25:F25"/>
    <mergeCell ref="A31:F31"/>
    <mergeCell ref="A32:F32"/>
    <mergeCell ref="A33:F33"/>
    <mergeCell ref="A34:F34"/>
    <mergeCell ref="A35:B35"/>
    <mergeCell ref="D35:E35"/>
    <mergeCell ref="A19:C19"/>
    <mergeCell ref="D19:F19"/>
    <mergeCell ref="A20:C20"/>
    <mergeCell ref="D20:F20"/>
    <mergeCell ref="A21:C21"/>
    <mergeCell ref="D21:F21"/>
    <mergeCell ref="A7:B7"/>
    <mergeCell ref="D7:E7"/>
    <mergeCell ref="A8:B8"/>
    <mergeCell ref="D8:E8"/>
    <mergeCell ref="A18:B18"/>
    <mergeCell ref="D18:E18"/>
    <mergeCell ref="A17:B17"/>
    <mergeCell ref="A2:F2"/>
    <mergeCell ref="A3:F3"/>
    <mergeCell ref="A4:F4"/>
    <mergeCell ref="A5:F5"/>
    <mergeCell ref="A6:B6"/>
    <mergeCell ref="D6:E6"/>
  </mergeCells>
  <pageMargins left="0.7" right="0.7" top="0.75" bottom="0.75" header="0.3" footer="0.3"/>
  <pageSetup scale="70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B143-A174-46D2-B887-1865A00BA4A6}">
  <dimension ref="A1:AJ30"/>
  <sheetViews>
    <sheetView topLeftCell="E1" workbookViewId="0">
      <selection activeCell="S7" sqref="S7"/>
    </sheetView>
  </sheetViews>
  <sheetFormatPr defaultRowHeight="15" x14ac:dyDescent="0.25"/>
  <cols>
    <col min="1" max="1" width="20.28515625" style="1" hidden="1" customWidth="1"/>
    <col min="2" max="2" width="6.42578125" style="1" customWidth="1"/>
    <col min="3" max="3" width="23.7109375" style="3" bestFit="1" customWidth="1"/>
    <col min="4" max="4" width="15" style="1" customWidth="1"/>
    <col min="5" max="5" width="16" style="1" customWidth="1"/>
    <col min="6" max="6" width="8.140625" style="1" customWidth="1"/>
    <col min="7" max="7" width="14.5703125" style="1" customWidth="1"/>
    <col min="8" max="8" width="13.5703125" style="1" customWidth="1"/>
    <col min="9" max="9" width="6" style="1" customWidth="1"/>
    <col min="10" max="10" width="11.28515625" style="1" customWidth="1"/>
    <col min="11" max="11" width="12.28515625" style="1" customWidth="1"/>
    <col min="12" max="12" width="12" style="1" customWidth="1"/>
    <col min="13" max="13" width="8.85546875" style="1" customWidth="1"/>
    <col min="14" max="14" width="12.28515625" style="1" customWidth="1"/>
    <col min="15" max="15" width="12.5703125" style="1" customWidth="1"/>
    <col min="16" max="17" width="13.140625" style="1" customWidth="1"/>
    <col min="18" max="18" width="16.42578125" style="1" customWidth="1"/>
    <col min="19" max="19" width="11.28515625" style="4" customWidth="1"/>
    <col min="20" max="20" width="14.7109375" style="1" customWidth="1"/>
    <col min="21" max="21" width="5.85546875" style="1" customWidth="1"/>
    <col min="22" max="22" width="12.5703125" style="1" customWidth="1"/>
    <col min="23" max="23" width="17.85546875" style="1" customWidth="1"/>
    <col min="24" max="24" width="15" style="1" customWidth="1"/>
    <col min="25" max="25" width="5.28515625" style="1" customWidth="1"/>
    <col min="26" max="26" width="14.5703125" style="1" customWidth="1"/>
    <col min="27" max="27" width="12" style="1" customWidth="1"/>
    <col min="28" max="28" width="14.7109375" style="1" customWidth="1"/>
    <col min="29" max="30" width="12.42578125" style="1" customWidth="1"/>
    <col min="31" max="31" width="15" style="1" customWidth="1"/>
    <col min="32" max="33" width="13.85546875" style="1" customWidth="1"/>
    <col min="34" max="34" width="7.85546875" style="1" customWidth="1"/>
    <col min="35" max="35" width="9.140625" style="1"/>
    <col min="36" max="36" width="40.7109375" style="1" customWidth="1"/>
    <col min="37" max="16384" width="9.140625" style="1"/>
  </cols>
  <sheetData>
    <row r="1" spans="1:36" x14ac:dyDescent="0.25">
      <c r="B1" s="2" t="s">
        <v>0</v>
      </c>
    </row>
    <row r="2" spans="1:36" x14ac:dyDescent="0.25">
      <c r="B2" s="2" t="s">
        <v>1</v>
      </c>
    </row>
    <row r="3" spans="1:36" x14ac:dyDescent="0.25">
      <c r="B3" s="2" t="s">
        <v>2</v>
      </c>
      <c r="AA3" s="5" t="s">
        <v>392</v>
      </c>
    </row>
    <row r="4" spans="1:36" x14ac:dyDescent="0.25">
      <c r="B4" s="2" t="s">
        <v>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4"/>
      <c r="U4" s="4"/>
      <c r="V4" s="4"/>
    </row>
    <row r="5" spans="1:36" ht="31.5" customHeight="1" x14ac:dyDescent="0.3"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215" t="s">
        <v>4</v>
      </c>
      <c r="P5" s="215"/>
      <c r="Q5" s="215"/>
      <c r="R5" s="215"/>
      <c r="S5" s="215"/>
      <c r="T5" s="215"/>
      <c r="U5" s="215"/>
      <c r="V5" s="215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6" ht="26.25" customHeight="1" x14ac:dyDescent="0.3">
      <c r="C6" s="9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216" t="s">
        <v>454</v>
      </c>
      <c r="P6" s="216"/>
      <c r="Q6" s="216"/>
      <c r="R6" s="216"/>
      <c r="S6" s="216"/>
      <c r="T6" s="216"/>
      <c r="U6" s="216"/>
      <c r="V6" s="216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6" ht="15.75" x14ac:dyDescent="0.25">
      <c r="B7" s="2"/>
      <c r="C7" s="11"/>
      <c r="D7" s="2"/>
      <c r="E7" s="2"/>
      <c r="F7" s="2"/>
      <c r="G7" s="12"/>
      <c r="H7" s="2"/>
      <c r="I7" s="217"/>
      <c r="J7" s="217"/>
      <c r="K7" s="2"/>
      <c r="L7" s="2"/>
      <c r="M7" s="2"/>
      <c r="N7" s="2"/>
      <c r="O7" s="2"/>
      <c r="P7" s="2"/>
      <c r="Q7" s="2"/>
      <c r="R7" s="2"/>
      <c r="S7" s="13"/>
      <c r="T7" s="2"/>
      <c r="U7" s="2"/>
      <c r="V7" s="2"/>
      <c r="W7" s="2"/>
      <c r="X7" s="2"/>
      <c r="Y7" s="2"/>
      <c r="Z7" s="2"/>
      <c r="AA7" s="2"/>
      <c r="AB7" s="14" t="s">
        <v>5</v>
      </c>
      <c r="AC7" s="2"/>
      <c r="AD7" s="2"/>
    </row>
    <row r="8" spans="1:36" s="3" customFormat="1" x14ac:dyDescent="0.25">
      <c r="C8" s="3">
        <v>1</v>
      </c>
      <c r="D8" s="3">
        <v>2</v>
      </c>
      <c r="E8" s="1">
        <v>3</v>
      </c>
      <c r="F8" s="3">
        <v>4</v>
      </c>
      <c r="G8" s="1">
        <v>5</v>
      </c>
      <c r="H8" s="3">
        <v>6</v>
      </c>
      <c r="I8" s="1">
        <v>7</v>
      </c>
      <c r="J8" s="3">
        <v>8</v>
      </c>
      <c r="K8" s="1">
        <v>9</v>
      </c>
      <c r="L8" s="3">
        <v>10</v>
      </c>
      <c r="M8" s="1">
        <v>11</v>
      </c>
      <c r="N8" s="1"/>
      <c r="O8" s="3">
        <v>12</v>
      </c>
      <c r="P8" s="1">
        <v>13</v>
      </c>
      <c r="Q8" s="3">
        <v>14</v>
      </c>
      <c r="R8" s="1">
        <v>15</v>
      </c>
      <c r="S8" s="3">
        <v>16</v>
      </c>
      <c r="T8" s="1">
        <v>17</v>
      </c>
      <c r="U8" s="3">
        <v>18</v>
      </c>
      <c r="V8" s="1">
        <v>19</v>
      </c>
      <c r="W8" s="3">
        <v>20</v>
      </c>
      <c r="X8" s="1">
        <v>21</v>
      </c>
      <c r="Y8" s="3">
        <v>22</v>
      </c>
      <c r="Z8" s="1">
        <v>23</v>
      </c>
      <c r="AA8" s="3">
        <v>24</v>
      </c>
      <c r="AB8" s="3">
        <v>26</v>
      </c>
      <c r="AC8" s="1">
        <v>27</v>
      </c>
      <c r="AD8" s="1"/>
      <c r="AE8" s="1">
        <v>29</v>
      </c>
      <c r="AF8" s="1">
        <v>31</v>
      </c>
      <c r="AG8" s="3">
        <v>32</v>
      </c>
      <c r="AH8" s="1">
        <v>33</v>
      </c>
      <c r="AI8" s="3">
        <v>34</v>
      </c>
    </row>
    <row r="9" spans="1:36" ht="58.5" customHeight="1" x14ac:dyDescent="0.25">
      <c r="B9" s="204" t="s">
        <v>6</v>
      </c>
      <c r="C9" s="291" t="s">
        <v>7</v>
      </c>
      <c r="D9" s="199" t="s">
        <v>8</v>
      </c>
      <c r="E9" s="199" t="s">
        <v>9</v>
      </c>
      <c r="F9" s="199" t="s">
        <v>10</v>
      </c>
      <c r="G9" s="218" t="s">
        <v>11</v>
      </c>
      <c r="H9" s="218" t="s">
        <v>12</v>
      </c>
      <c r="I9" s="204" t="s">
        <v>13</v>
      </c>
      <c r="J9" s="204"/>
      <c r="K9" s="204"/>
      <c r="L9" s="204"/>
      <c r="M9" s="204"/>
      <c r="N9" s="204"/>
      <c r="O9" s="204"/>
      <c r="P9" s="199" t="s">
        <v>14</v>
      </c>
      <c r="Q9" s="199" t="s">
        <v>15</v>
      </c>
      <c r="R9" s="199" t="s">
        <v>16</v>
      </c>
      <c r="S9" s="219" t="s">
        <v>260</v>
      </c>
      <c r="T9" s="205" t="s">
        <v>17</v>
      </c>
      <c r="U9" s="202" t="s">
        <v>18</v>
      </c>
      <c r="V9" s="203"/>
      <c r="W9" s="199" t="s">
        <v>19</v>
      </c>
      <c r="X9" s="204" t="s">
        <v>20</v>
      </c>
      <c r="Y9" s="204"/>
      <c r="Z9" s="204"/>
      <c r="AA9" s="204"/>
      <c r="AB9" s="199" t="s">
        <v>21</v>
      </c>
      <c r="AC9" s="212" t="s">
        <v>22</v>
      </c>
      <c r="AD9" s="212" t="s">
        <v>23</v>
      </c>
      <c r="AE9" s="195" t="s">
        <v>24</v>
      </c>
      <c r="AF9" s="197" t="s">
        <v>25</v>
      </c>
      <c r="AG9" s="199" t="s">
        <v>26</v>
      </c>
      <c r="AH9" s="201" t="s">
        <v>27</v>
      </c>
      <c r="AI9" s="210" t="s">
        <v>28</v>
      </c>
      <c r="AJ9" s="206" t="s">
        <v>29</v>
      </c>
    </row>
    <row r="10" spans="1:36" ht="50.25" customHeight="1" x14ac:dyDescent="0.25">
      <c r="B10" s="195"/>
      <c r="C10" s="292"/>
      <c r="D10" s="200"/>
      <c r="E10" s="200"/>
      <c r="F10" s="196"/>
      <c r="G10" s="199"/>
      <c r="H10" s="199"/>
      <c r="I10" s="16" t="s">
        <v>30</v>
      </c>
      <c r="J10" s="15" t="s">
        <v>31</v>
      </c>
      <c r="K10" s="15" t="s">
        <v>32</v>
      </c>
      <c r="L10" s="15" t="s">
        <v>33</v>
      </c>
      <c r="M10" s="16" t="s">
        <v>34</v>
      </c>
      <c r="N10" s="16" t="s">
        <v>35</v>
      </c>
      <c r="O10" s="16" t="s">
        <v>36</v>
      </c>
      <c r="P10" s="200"/>
      <c r="Q10" s="200"/>
      <c r="R10" s="196"/>
      <c r="S10" s="220"/>
      <c r="T10" s="205"/>
      <c r="U10" s="16" t="s">
        <v>30</v>
      </c>
      <c r="V10" s="16" t="s">
        <v>35</v>
      </c>
      <c r="W10" s="196"/>
      <c r="X10" s="18" t="s">
        <v>37</v>
      </c>
      <c r="Y10" s="17" t="s">
        <v>38</v>
      </c>
      <c r="Z10" s="17" t="s">
        <v>39</v>
      </c>
      <c r="AA10" s="17" t="s">
        <v>40</v>
      </c>
      <c r="AB10" s="196"/>
      <c r="AC10" s="213"/>
      <c r="AD10" s="214"/>
      <c r="AE10" s="196"/>
      <c r="AF10" s="198"/>
      <c r="AG10" s="200"/>
      <c r="AH10" s="201"/>
      <c r="AI10" s="211"/>
      <c r="AJ10" s="206"/>
    </row>
    <row r="11" spans="1:36" x14ac:dyDescent="0.25">
      <c r="A11" s="1">
        <v>1</v>
      </c>
      <c r="B11" s="1">
        <v>2</v>
      </c>
      <c r="C11" s="1">
        <v>3</v>
      </c>
      <c r="D11" s="1">
        <v>4</v>
      </c>
      <c r="E11" s="1">
        <v>5</v>
      </c>
      <c r="F11" s="1">
        <v>6</v>
      </c>
      <c r="G11" s="1">
        <v>7</v>
      </c>
      <c r="H11" s="1">
        <v>8</v>
      </c>
      <c r="I11" s="1">
        <v>9</v>
      </c>
      <c r="J11" s="1">
        <v>10</v>
      </c>
      <c r="K11" s="1">
        <v>11</v>
      </c>
      <c r="L11" s="1">
        <v>12</v>
      </c>
      <c r="M11" s="1">
        <v>13</v>
      </c>
      <c r="N11" s="1">
        <v>14</v>
      </c>
      <c r="O11" s="1">
        <v>15</v>
      </c>
      <c r="P11" s="1">
        <v>16</v>
      </c>
      <c r="Q11" s="1">
        <v>17</v>
      </c>
      <c r="R11" s="1">
        <v>18</v>
      </c>
      <c r="S11" s="1">
        <v>19</v>
      </c>
      <c r="T11" s="1">
        <v>20</v>
      </c>
      <c r="U11" s="1">
        <v>21</v>
      </c>
      <c r="V11" s="1">
        <v>22</v>
      </c>
      <c r="W11" s="1">
        <v>23</v>
      </c>
      <c r="X11" s="1">
        <v>24</v>
      </c>
      <c r="Y11" s="1">
        <v>25</v>
      </c>
      <c r="Z11" s="1">
        <v>26</v>
      </c>
      <c r="AA11" s="1">
        <v>27</v>
      </c>
      <c r="AB11" s="1">
        <v>29</v>
      </c>
      <c r="AC11" s="1">
        <v>30</v>
      </c>
      <c r="AE11" s="1">
        <v>31</v>
      </c>
      <c r="AF11" s="1">
        <v>32</v>
      </c>
      <c r="AG11" s="1">
        <v>33</v>
      </c>
      <c r="AH11" s="1">
        <v>34</v>
      </c>
      <c r="AI11" s="1">
        <v>35</v>
      </c>
      <c r="AJ11" s="1">
        <v>36</v>
      </c>
    </row>
    <row r="12" spans="1:36" s="19" customFormat="1" ht="21.75" customHeight="1" x14ac:dyDescent="0.25">
      <c r="A12" s="1"/>
      <c r="B12" s="20" t="s">
        <v>238</v>
      </c>
      <c r="C12" s="37"/>
      <c r="D12" s="38"/>
      <c r="E12" s="39"/>
      <c r="F12" s="40"/>
      <c r="G12" s="41">
        <f t="shared" ref="G12:AI12" si="0">SUBTOTAL(9,G13:G15)</f>
        <v>142000000</v>
      </c>
      <c r="H12" s="41">
        <f t="shared" si="0"/>
        <v>0</v>
      </c>
      <c r="I12" s="41">
        <f t="shared" si="0"/>
        <v>0</v>
      </c>
      <c r="J12" s="41">
        <f t="shared" si="0"/>
        <v>0</v>
      </c>
      <c r="K12" s="41">
        <f t="shared" si="0"/>
        <v>0</v>
      </c>
      <c r="L12" s="41">
        <f t="shared" si="0"/>
        <v>0</v>
      </c>
      <c r="M12" s="41">
        <f t="shared" si="0"/>
        <v>0</v>
      </c>
      <c r="N12" s="41">
        <f t="shared" si="0"/>
        <v>0</v>
      </c>
      <c r="O12" s="41">
        <f t="shared" si="0"/>
        <v>0</v>
      </c>
      <c r="P12" s="41">
        <f t="shared" si="0"/>
        <v>0</v>
      </c>
      <c r="Q12" s="41">
        <f t="shared" si="0"/>
        <v>0</v>
      </c>
      <c r="R12" s="41">
        <f t="shared" si="0"/>
        <v>69</v>
      </c>
      <c r="S12" s="41">
        <f t="shared" si="0"/>
        <v>0</v>
      </c>
      <c r="T12" s="41">
        <f t="shared" si="0"/>
        <v>142000000</v>
      </c>
      <c r="U12" s="41">
        <f t="shared" si="0"/>
        <v>0</v>
      </c>
      <c r="V12" s="41">
        <f t="shared" si="0"/>
        <v>0</v>
      </c>
      <c r="W12" s="41">
        <f t="shared" si="0"/>
        <v>142000000</v>
      </c>
      <c r="X12" s="41">
        <f t="shared" si="0"/>
        <v>0</v>
      </c>
      <c r="Y12" s="41">
        <f t="shared" si="0"/>
        <v>0</v>
      </c>
      <c r="Z12" s="41">
        <f t="shared" si="0"/>
        <v>0</v>
      </c>
      <c r="AA12" s="41">
        <f t="shared" si="0"/>
        <v>0</v>
      </c>
      <c r="AB12" s="41">
        <f t="shared" si="0"/>
        <v>142000000</v>
      </c>
      <c r="AC12" s="41">
        <f t="shared" si="0"/>
        <v>0</v>
      </c>
      <c r="AD12" s="41">
        <f t="shared" si="0"/>
        <v>0</v>
      </c>
      <c r="AE12" s="41">
        <f t="shared" si="0"/>
        <v>142000000</v>
      </c>
      <c r="AF12" s="41">
        <f t="shared" si="0"/>
        <v>70000000</v>
      </c>
      <c r="AG12" s="41">
        <f t="shared" si="0"/>
        <v>72000000</v>
      </c>
      <c r="AH12" s="41">
        <f t="shared" si="0"/>
        <v>0</v>
      </c>
      <c r="AI12" s="41">
        <f t="shared" si="0"/>
        <v>0</v>
      </c>
      <c r="AJ12" s="22"/>
    </row>
    <row r="13" spans="1:36" s="19" customFormat="1" ht="28.5" customHeight="1" x14ac:dyDescent="0.25">
      <c r="A13" s="1" t="str">
        <f>+INDEX('[3]DS STK NV'!$B$4:$B$106,MATCH('BẢNG LƯƠNG T08.2024'!B154,'[3]DS STK NV'!$B$4:$B$106,0))</f>
        <v>Lê Văn Thiên</v>
      </c>
      <c r="B13" s="23">
        <v>102</v>
      </c>
      <c r="C13" s="24" t="s">
        <v>280</v>
      </c>
      <c r="D13" s="42"/>
      <c r="E13" s="26"/>
      <c r="F13" s="27">
        <v>23</v>
      </c>
      <c r="G13" s="28">
        <v>70000000</v>
      </c>
      <c r="H13" s="28"/>
      <c r="I13" s="28"/>
      <c r="J13" s="28"/>
      <c r="K13" s="28"/>
      <c r="L13" s="28"/>
      <c r="M13" s="28"/>
      <c r="N13" s="28"/>
      <c r="O13" s="28"/>
      <c r="P13" s="51">
        <f>SUM(I13:O13)</f>
        <v>0</v>
      </c>
      <c r="Q13" s="28"/>
      <c r="R13" s="27">
        <v>23</v>
      </c>
      <c r="S13" s="29"/>
      <c r="T13" s="30">
        <f t="shared" ref="T13:T15" si="1">ROUND((G13+P13+Q13)/F13*R13,0)</f>
        <v>70000000</v>
      </c>
      <c r="U13" s="50">
        <f>+I13</f>
        <v>0</v>
      </c>
      <c r="V13" s="50">
        <f t="shared" ref="V13:V15" si="2">+N13</f>
        <v>0</v>
      </c>
      <c r="W13" s="28">
        <f>+T13-U13-V13</f>
        <v>70000000</v>
      </c>
      <c r="X13" s="28"/>
      <c r="Y13" s="28"/>
      <c r="Z13" s="28"/>
      <c r="AA13" s="28"/>
      <c r="AB13" s="31">
        <f t="shared" ref="AB13:AB15" si="3">+IF(W13-X13-Z13-AA13&gt;0,W13-X13-Z13-AA13,0)</f>
        <v>70000000</v>
      </c>
      <c r="AC13" s="32"/>
      <c r="AD13" s="32"/>
      <c r="AE13" s="28">
        <f t="shared" ref="AE13:AE15" si="4">ROUND(T13-AA13-AC13-AD13,0)</f>
        <v>70000000</v>
      </c>
      <c r="AF13" s="28">
        <v>20000000</v>
      </c>
      <c r="AG13" s="35">
        <f>+AE13-AF13</f>
        <v>50000000</v>
      </c>
      <c r="AH13" s="28"/>
      <c r="AI13" s="35">
        <f t="shared" ref="AI13:AI15" si="5">+IF(AC13&gt;0,1,0)</f>
        <v>0</v>
      </c>
      <c r="AJ13" s="36" t="s">
        <v>323</v>
      </c>
    </row>
    <row r="14" spans="1:36" s="19" customFormat="1" ht="28.5" customHeight="1" x14ac:dyDescent="0.25">
      <c r="A14" s="1" t="str">
        <f>+INDEX('[3]DS STK NV'!$B$4:$B$106,MATCH('BẢNG LƯƠNG T08.2024'!B155,'[3]DS STK NV'!$B$4:$B$106,0))</f>
        <v>Nguyễn Thị Mỹ Khang</v>
      </c>
      <c r="B14" s="23">
        <v>103</v>
      </c>
      <c r="C14" s="24" t="s">
        <v>281</v>
      </c>
      <c r="D14" s="42"/>
      <c r="E14" s="26"/>
      <c r="F14" s="27">
        <v>23</v>
      </c>
      <c r="G14" s="28">
        <v>42000000</v>
      </c>
      <c r="H14" s="28"/>
      <c r="I14" s="28"/>
      <c r="J14" s="28"/>
      <c r="K14" s="28"/>
      <c r="L14" s="28"/>
      <c r="M14" s="28"/>
      <c r="N14" s="28"/>
      <c r="O14" s="28"/>
      <c r="P14" s="51">
        <f t="shared" ref="P14:P15" si="6">SUM(I14:O14)</f>
        <v>0</v>
      </c>
      <c r="Q14" s="28"/>
      <c r="R14" s="27">
        <v>23</v>
      </c>
      <c r="S14" s="29"/>
      <c r="T14" s="30">
        <f t="shared" si="1"/>
        <v>42000000</v>
      </c>
      <c r="U14" s="50"/>
      <c r="V14" s="50">
        <f t="shared" si="2"/>
        <v>0</v>
      </c>
      <c r="W14" s="28">
        <f>+T14-U14-V14</f>
        <v>42000000</v>
      </c>
      <c r="X14" s="28"/>
      <c r="Y14" s="28"/>
      <c r="Z14" s="28"/>
      <c r="AA14" s="28"/>
      <c r="AB14" s="31">
        <f t="shared" si="3"/>
        <v>42000000</v>
      </c>
      <c r="AC14" s="32"/>
      <c r="AD14" s="32"/>
      <c r="AE14" s="28">
        <f>ROUND(T14-AA14-AC14-AD14,0)</f>
        <v>42000000</v>
      </c>
      <c r="AF14" s="28">
        <v>20000000</v>
      </c>
      <c r="AG14" s="35">
        <f t="shared" ref="AG14:AG15" si="7">+AE14-AF14</f>
        <v>22000000</v>
      </c>
      <c r="AH14" s="28"/>
      <c r="AI14" s="35">
        <f t="shared" si="5"/>
        <v>0</v>
      </c>
      <c r="AJ14" s="44" t="s">
        <v>322</v>
      </c>
    </row>
    <row r="15" spans="1:36" s="19" customFormat="1" ht="28.5" customHeight="1" x14ac:dyDescent="0.25">
      <c r="A15" s="1" t="str">
        <f>+INDEX('[3]DS STK NV'!$B$4:$B$106,MATCH('BẢNG LƯƠNG T08.2024'!B26,'[3]DS STK NV'!$B$4:$B$106,0))</f>
        <v>Đào Lý Trân</v>
      </c>
      <c r="B15" s="23">
        <v>104</v>
      </c>
      <c r="C15" s="24" t="s">
        <v>282</v>
      </c>
      <c r="D15" s="42"/>
      <c r="E15" s="26"/>
      <c r="F15" s="27">
        <v>23</v>
      </c>
      <c r="G15" s="28">
        <v>30000000</v>
      </c>
      <c r="H15" s="28"/>
      <c r="I15" s="28"/>
      <c r="J15" s="28"/>
      <c r="K15" s="28"/>
      <c r="L15" s="28">
        <v>0</v>
      </c>
      <c r="M15" s="28"/>
      <c r="N15" s="28"/>
      <c r="O15" s="28"/>
      <c r="P15" s="51">
        <f t="shared" si="6"/>
        <v>0</v>
      </c>
      <c r="Q15" s="28"/>
      <c r="R15" s="27">
        <v>23</v>
      </c>
      <c r="S15" s="29"/>
      <c r="T15" s="30">
        <f t="shared" si="1"/>
        <v>30000000</v>
      </c>
      <c r="U15" s="28">
        <f>+I15</f>
        <v>0</v>
      </c>
      <c r="V15" s="50">
        <f t="shared" si="2"/>
        <v>0</v>
      </c>
      <c r="W15" s="28">
        <f>+T15-U15-V15</f>
        <v>30000000</v>
      </c>
      <c r="X15" s="28"/>
      <c r="Y15" s="28"/>
      <c r="Z15" s="28"/>
      <c r="AA15" s="28"/>
      <c r="AB15" s="31">
        <f t="shared" si="3"/>
        <v>30000000</v>
      </c>
      <c r="AC15" s="32"/>
      <c r="AD15" s="32"/>
      <c r="AE15" s="28">
        <f t="shared" si="4"/>
        <v>30000000</v>
      </c>
      <c r="AF15" s="28">
        <f t="shared" ref="AF15" si="8">+AE15</f>
        <v>30000000</v>
      </c>
      <c r="AG15" s="35">
        <f t="shared" si="7"/>
        <v>0</v>
      </c>
      <c r="AH15" s="28"/>
      <c r="AI15" s="35">
        <f t="shared" si="5"/>
        <v>0</v>
      </c>
      <c r="AJ15" s="44" t="s">
        <v>324</v>
      </c>
    </row>
    <row r="16" spans="1:36" s="19" customFormat="1" ht="25.5" customHeight="1" x14ac:dyDescent="0.25">
      <c r="B16" s="52" t="s">
        <v>250</v>
      </c>
      <c r="C16" s="53"/>
      <c r="D16" s="54"/>
      <c r="E16" s="54"/>
      <c r="F16" s="55"/>
      <c r="G16" s="56">
        <f t="shared" ref="G16:AI16" si="9">+SUBTOTAL(9,G12:G15)</f>
        <v>142000000</v>
      </c>
      <c r="H16" s="56">
        <f t="shared" si="9"/>
        <v>0</v>
      </c>
      <c r="I16" s="56">
        <f t="shared" si="9"/>
        <v>0</v>
      </c>
      <c r="J16" s="56">
        <f t="shared" si="9"/>
        <v>0</v>
      </c>
      <c r="K16" s="56">
        <f t="shared" si="9"/>
        <v>0</v>
      </c>
      <c r="L16" s="56">
        <f t="shared" si="9"/>
        <v>0</v>
      </c>
      <c r="M16" s="56">
        <f t="shared" si="9"/>
        <v>0</v>
      </c>
      <c r="N16" s="56">
        <f t="shared" si="9"/>
        <v>0</v>
      </c>
      <c r="O16" s="56">
        <f t="shared" si="9"/>
        <v>0</v>
      </c>
      <c r="P16" s="56">
        <f t="shared" si="9"/>
        <v>0</v>
      </c>
      <c r="Q16" s="56">
        <f t="shared" si="9"/>
        <v>0</v>
      </c>
      <c r="R16" s="56">
        <f t="shared" si="9"/>
        <v>69</v>
      </c>
      <c r="S16" s="56">
        <f t="shared" si="9"/>
        <v>0</v>
      </c>
      <c r="T16" s="57">
        <f t="shared" si="9"/>
        <v>142000000</v>
      </c>
      <c r="U16" s="56">
        <f t="shared" si="9"/>
        <v>0</v>
      </c>
      <c r="V16" s="56">
        <f t="shared" si="9"/>
        <v>0</v>
      </c>
      <c r="W16" s="56">
        <f t="shared" si="9"/>
        <v>142000000</v>
      </c>
      <c r="X16" s="56">
        <f t="shared" si="9"/>
        <v>0</v>
      </c>
      <c r="Y16" s="56">
        <f t="shared" si="9"/>
        <v>0</v>
      </c>
      <c r="Z16" s="56">
        <f t="shared" si="9"/>
        <v>0</v>
      </c>
      <c r="AA16" s="57">
        <f t="shared" si="9"/>
        <v>0</v>
      </c>
      <c r="AB16" s="56">
        <f t="shared" si="9"/>
        <v>142000000</v>
      </c>
      <c r="AC16" s="57">
        <f t="shared" si="9"/>
        <v>0</v>
      </c>
      <c r="AD16" s="57">
        <f t="shared" si="9"/>
        <v>0</v>
      </c>
      <c r="AE16" s="57">
        <f t="shared" si="9"/>
        <v>142000000</v>
      </c>
      <c r="AF16" s="58">
        <f t="shared" si="9"/>
        <v>70000000</v>
      </c>
      <c r="AG16" s="56">
        <f t="shared" si="9"/>
        <v>72000000</v>
      </c>
      <c r="AH16" s="56">
        <f t="shared" si="9"/>
        <v>0</v>
      </c>
      <c r="AI16" s="56">
        <f t="shared" si="9"/>
        <v>0</v>
      </c>
      <c r="AJ16" s="22"/>
    </row>
    <row r="17" spans="2:36" x14ac:dyDescent="0.25">
      <c r="B17" s="59"/>
      <c r="C17" s="60"/>
      <c r="D17" s="59"/>
      <c r="E17" s="59"/>
      <c r="F17" s="59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13"/>
      <c r="T17" s="61"/>
      <c r="U17" s="61"/>
      <c r="V17" s="61"/>
      <c r="W17" s="62"/>
      <c r="X17"/>
      <c r="Y17"/>
      <c r="Z17"/>
      <c r="AA17"/>
      <c r="AB17" s="63"/>
      <c r="AC17"/>
      <c r="AD17"/>
      <c r="AE17" s="64"/>
      <c r="AF17" s="64"/>
      <c r="AG17" s="64"/>
    </row>
    <row r="18" spans="2:36" x14ac:dyDescent="0.25">
      <c r="B18" s="59"/>
      <c r="C18" s="60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61"/>
      <c r="Q18" s="61"/>
      <c r="R18" s="61"/>
      <c r="S18" s="13"/>
      <c r="T18" s="61"/>
      <c r="U18" s="61"/>
      <c r="V18" s="61"/>
      <c r="AE18" s="4"/>
      <c r="AF18" s="4"/>
      <c r="AG18" s="4"/>
    </row>
    <row r="19" spans="2:36" s="65" customFormat="1" ht="16.5" customHeight="1" x14ac:dyDescent="0.25">
      <c r="C19" s="66"/>
      <c r="F19" s="207" t="s">
        <v>251</v>
      </c>
      <c r="G19" s="207"/>
      <c r="H19" s="207"/>
      <c r="I19" s="67"/>
      <c r="J19" s="67"/>
      <c r="L19" s="68"/>
      <c r="S19" s="67"/>
      <c r="U19" s="208" t="s">
        <v>252</v>
      </c>
      <c r="V19" s="208"/>
      <c r="W19" s="208"/>
      <c r="Z19" s="69"/>
      <c r="AC19" s="70"/>
      <c r="AD19" s="70"/>
      <c r="AE19" s="209" t="s">
        <v>253</v>
      </c>
      <c r="AF19" s="209"/>
      <c r="AG19" s="209"/>
      <c r="AH19" s="209"/>
      <c r="AJ19" s="69"/>
    </row>
    <row r="20" spans="2:36" ht="15" customHeight="1" x14ac:dyDescent="0.25">
      <c r="F20" s="194" t="s">
        <v>254</v>
      </c>
      <c r="G20" s="194"/>
      <c r="H20" s="194"/>
      <c r="I20" s="4"/>
      <c r="J20" s="4"/>
      <c r="L20" s="72"/>
      <c r="R20" s="64"/>
      <c r="U20" s="194" t="s">
        <v>254</v>
      </c>
      <c r="V20" s="194"/>
      <c r="W20" s="194"/>
      <c r="AA20" s="64"/>
      <c r="AC20" s="61"/>
      <c r="AD20" s="61"/>
      <c r="AE20" s="194" t="s">
        <v>254</v>
      </c>
      <c r="AF20" s="194"/>
      <c r="AG20" s="194"/>
      <c r="AH20" s="194"/>
    </row>
    <row r="21" spans="2:36" ht="15" customHeight="1" x14ac:dyDescent="0.25"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3"/>
      <c r="AD21" s="73"/>
      <c r="AE21" s="71"/>
      <c r="AF21" s="71"/>
      <c r="AG21" s="71"/>
      <c r="AH21" s="71"/>
      <c r="AI21" s="71"/>
      <c r="AJ21" s="64"/>
    </row>
    <row r="22" spans="2:36" ht="15" customHeight="1" x14ac:dyDescent="0.25">
      <c r="F22" s="71"/>
      <c r="G22" s="71"/>
      <c r="H22" s="71"/>
      <c r="I22" s="4"/>
      <c r="J22" s="4"/>
      <c r="L22" s="72"/>
      <c r="R22" s="64"/>
      <c r="U22" s="71"/>
      <c r="V22" s="71"/>
      <c r="W22" s="71"/>
      <c r="X22" s="74"/>
      <c r="AB22" s="64"/>
      <c r="AC22" s="61"/>
      <c r="AD22" s="61"/>
      <c r="AE22" s="71"/>
      <c r="AF22" s="71"/>
      <c r="AG22" s="71"/>
      <c r="AH22" s="71"/>
    </row>
    <row r="23" spans="2:36" x14ac:dyDescent="0.25">
      <c r="B23" s="59"/>
      <c r="C23" s="60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61"/>
      <c r="Q23" s="61"/>
      <c r="R23" s="61"/>
      <c r="S23" s="13"/>
      <c r="T23" s="61"/>
      <c r="U23" s="61"/>
      <c r="V23" s="61"/>
      <c r="W23" s="64"/>
      <c r="AA23" s="64"/>
      <c r="AB23" s="64"/>
      <c r="AC23" s="64"/>
      <c r="AD23" s="64"/>
      <c r="AE23" s="4"/>
      <c r="AF23" s="4"/>
      <c r="AG23" s="4"/>
    </row>
    <row r="24" spans="2:36" x14ac:dyDescent="0.25">
      <c r="B24" s="59"/>
      <c r="C24" s="60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61"/>
      <c r="Q24" s="61"/>
      <c r="R24" s="61"/>
      <c r="S24" s="13"/>
      <c r="T24" s="61"/>
      <c r="U24" s="61"/>
      <c r="V24" s="61"/>
      <c r="W24" s="75"/>
      <c r="AE24" s="4"/>
      <c r="AF24" s="4"/>
      <c r="AG24" s="4"/>
    </row>
    <row r="25" spans="2:36" x14ac:dyDescent="0.25">
      <c r="B25" s="59"/>
      <c r="C25" s="60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61"/>
      <c r="Q25" s="61"/>
      <c r="R25" s="61"/>
      <c r="S25" s="13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</row>
    <row r="26" spans="2:36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 s="62"/>
      <c r="T26"/>
      <c r="U26"/>
      <c r="W26" s="75"/>
    </row>
    <row r="27" spans="2:36" x14ac:dyDescent="0.25">
      <c r="F27"/>
      <c r="G27"/>
      <c r="H27"/>
      <c r="I27"/>
      <c r="J27"/>
      <c r="K27"/>
      <c r="L27"/>
      <c r="M27"/>
      <c r="N27"/>
      <c r="O27"/>
      <c r="P27"/>
      <c r="Q27"/>
      <c r="R27"/>
      <c r="S27" s="62"/>
      <c r="T27" s="61"/>
      <c r="U27"/>
      <c r="W27" s="75"/>
    </row>
    <row r="28" spans="2:36" x14ac:dyDescent="0.25">
      <c r="W28" s="75"/>
    </row>
    <row r="30" spans="2:36" x14ac:dyDescent="0.25">
      <c r="T30" s="64"/>
    </row>
  </sheetData>
  <mergeCells count="34">
    <mergeCell ref="AJ9:AJ10"/>
    <mergeCell ref="F19:H19"/>
    <mergeCell ref="U19:W19"/>
    <mergeCell ref="AE19:AH19"/>
    <mergeCell ref="F20:H20"/>
    <mergeCell ref="U20:W20"/>
    <mergeCell ref="AE20:AH20"/>
    <mergeCell ref="AE9:AE10"/>
    <mergeCell ref="AF9:AF10"/>
    <mergeCell ref="AG9:AG10"/>
    <mergeCell ref="AH9:AH10"/>
    <mergeCell ref="AI9:AI10"/>
    <mergeCell ref="U9:V9"/>
    <mergeCell ref="W9:W10"/>
    <mergeCell ref="X9:AA9"/>
    <mergeCell ref="AB9:AB10"/>
    <mergeCell ref="AC9:AC10"/>
    <mergeCell ref="AD9:AD10"/>
    <mergeCell ref="I9:O9"/>
    <mergeCell ref="P9:P10"/>
    <mergeCell ref="Q9:Q10"/>
    <mergeCell ref="R9:R10"/>
    <mergeCell ref="S9:S10"/>
    <mergeCell ref="T9:T10"/>
    <mergeCell ref="O5:V5"/>
    <mergeCell ref="O6:V6"/>
    <mergeCell ref="I7:J7"/>
    <mergeCell ref="B9:B10"/>
    <mergeCell ref="C9:C10"/>
    <mergeCell ref="D9:D10"/>
    <mergeCell ref="E9:E10"/>
    <mergeCell ref="F9:F10"/>
    <mergeCell ref="G9:G10"/>
    <mergeCell ref="H9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BẢNG LƯƠNG T08.2024</vt:lpstr>
      <vt:lpstr>BHXH T8.2024</vt:lpstr>
      <vt:lpstr>Phiếu lương</vt:lpstr>
      <vt:lpstr>LƯƠNG A.N+A.V+C.L</vt:lpstr>
      <vt:lpstr>'BẢNG LƯƠNG T08.2024'!bangluong</vt:lpstr>
      <vt:lpstr>'BẢNG LƯƠNG T08.2024'!Print_Area</vt:lpstr>
      <vt:lpstr>'BẢNG LƯƠNG T08.2024'!Print_Titles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ĐÀO LÝ TRÂN</cp:lastModifiedBy>
  <cp:lastPrinted>2024-05-15T07:50:26Z</cp:lastPrinted>
  <dcterms:created xsi:type="dcterms:W3CDTF">2024-02-17T04:33:57Z</dcterms:created>
  <dcterms:modified xsi:type="dcterms:W3CDTF">2024-09-21T07:01:54Z</dcterms:modified>
</cp:coreProperties>
</file>