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Work Documents\Personal Matters\MBF_kmbs\IT Industry Analysis\"/>
    </mc:Choice>
  </mc:AlternateContent>
  <xr:revisionPtr revIDLastSave="810" documentId="8_{FF597074-EDAE-44CA-836C-7B81856A35A8}" xr6:coauthVersionLast="44" xr6:coauthVersionMax="44" xr10:uidLastSave="{C004C949-4304-4368-91F7-A1275E62ADC5}"/>
  <bookViews>
    <workbookView xWindow="-28920" yWindow="-120" windowWidth="29040" windowHeight="15990" xr2:uid="{0F4A0D06-AF7F-4757-B0C3-00E2BE572B28}"/>
  </bookViews>
  <sheets>
    <sheet name="Budgeted" sheetId="1" r:id="rId1"/>
    <sheet name="L-shape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5" i="2" l="1"/>
  <c r="D55" i="2"/>
  <c r="P36" i="1"/>
  <c r="D61" i="1"/>
  <c r="O60" i="2"/>
  <c r="N60" i="2"/>
  <c r="M60" i="2"/>
  <c r="L60" i="2"/>
  <c r="K60" i="2"/>
  <c r="J60" i="2"/>
  <c r="I60" i="2"/>
  <c r="H60" i="2"/>
  <c r="G60" i="2"/>
  <c r="F60" i="2"/>
  <c r="E60" i="2"/>
  <c r="D60" i="2"/>
  <c r="O57" i="2"/>
  <c r="N57" i="2"/>
  <c r="M57" i="2"/>
  <c r="L57" i="2"/>
  <c r="K57" i="2"/>
  <c r="J57" i="2"/>
  <c r="I57" i="2"/>
  <c r="F57" i="2"/>
  <c r="E57" i="2"/>
  <c r="D57" i="2"/>
  <c r="O53" i="2"/>
  <c r="N53" i="2"/>
  <c r="M53" i="2"/>
  <c r="L53" i="2"/>
  <c r="K53" i="2"/>
  <c r="J53" i="2"/>
  <c r="I53" i="2"/>
  <c r="H53" i="2"/>
  <c r="G53" i="2"/>
  <c r="F53" i="2"/>
  <c r="E53" i="2"/>
  <c r="D53" i="2"/>
  <c r="O49" i="2"/>
  <c r="N49" i="2"/>
  <c r="M49" i="2"/>
  <c r="L49" i="2"/>
  <c r="K49" i="2"/>
  <c r="J49" i="2"/>
  <c r="I49" i="2"/>
  <c r="H49" i="2"/>
  <c r="G49" i="2"/>
  <c r="F49" i="2"/>
  <c r="E49" i="2"/>
  <c r="D49" i="2"/>
  <c r="O45" i="2"/>
  <c r="N45" i="2"/>
  <c r="M45" i="2"/>
  <c r="L45" i="2"/>
  <c r="K45" i="2"/>
  <c r="J45" i="2"/>
  <c r="I45" i="2"/>
  <c r="H45" i="2"/>
  <c r="G45" i="2"/>
  <c r="F45" i="2"/>
  <c r="E45" i="2"/>
  <c r="D45" i="2"/>
  <c r="I32" i="2"/>
  <c r="F32" i="2"/>
  <c r="E32" i="2"/>
  <c r="D32" i="2"/>
  <c r="P31" i="2"/>
  <c r="O30" i="2"/>
  <c r="O33" i="2" s="1"/>
  <c r="N30" i="2"/>
  <c r="N33" i="2" s="1"/>
  <c r="M30" i="2"/>
  <c r="L30" i="2"/>
  <c r="L33" i="2" s="1"/>
  <c r="K30" i="2"/>
  <c r="K33" i="2" s="1"/>
  <c r="J30" i="2"/>
  <c r="J33" i="2" s="1"/>
  <c r="I30" i="2"/>
  <c r="I33" i="2" s="1"/>
  <c r="H30" i="2"/>
  <c r="G30" i="2"/>
  <c r="G33" i="2" s="1"/>
  <c r="F30" i="2"/>
  <c r="E30" i="2"/>
  <c r="E33" i="2" s="1"/>
  <c r="D30" i="2"/>
  <c r="D33" i="2" s="1"/>
  <c r="E21" i="2"/>
  <c r="D18" i="2"/>
  <c r="E16" i="2"/>
  <c r="I7" i="2"/>
  <c r="F7" i="2"/>
  <c r="I6" i="2"/>
  <c r="F6" i="2"/>
  <c r="I5" i="2"/>
  <c r="F5" i="2"/>
  <c r="I4" i="2"/>
  <c r="F4" i="2"/>
  <c r="E58" i="1"/>
  <c r="F58" i="1"/>
  <c r="G58" i="1"/>
  <c r="H58" i="1"/>
  <c r="I58" i="1"/>
  <c r="J58" i="1"/>
  <c r="K58" i="1"/>
  <c r="L58" i="1"/>
  <c r="M58" i="1"/>
  <c r="N58" i="1"/>
  <c r="O58" i="1"/>
  <c r="D58" i="1"/>
  <c r="E21" i="1"/>
  <c r="E56" i="1" s="1"/>
  <c r="E30" i="1"/>
  <c r="F30" i="1"/>
  <c r="G30" i="1"/>
  <c r="H30" i="1"/>
  <c r="I30" i="1"/>
  <c r="J30" i="1"/>
  <c r="K30" i="1"/>
  <c r="L30" i="1"/>
  <c r="M30" i="1"/>
  <c r="N30" i="1"/>
  <c r="O30" i="1"/>
  <c r="D30" i="1"/>
  <c r="E50" i="1"/>
  <c r="F50" i="1"/>
  <c r="G50" i="1"/>
  <c r="H50" i="1"/>
  <c r="I50" i="1"/>
  <c r="J50" i="1"/>
  <c r="K50" i="1"/>
  <c r="L50" i="1"/>
  <c r="M50" i="1"/>
  <c r="N50" i="1"/>
  <c r="O50" i="1"/>
  <c r="D50" i="1"/>
  <c r="P31" i="1"/>
  <c r="E32" i="1"/>
  <c r="F32" i="1"/>
  <c r="G32" i="1"/>
  <c r="H32" i="1"/>
  <c r="I32" i="1"/>
  <c r="I33" i="1" s="1"/>
  <c r="J32" i="1"/>
  <c r="K32" i="1"/>
  <c r="L32" i="1"/>
  <c r="M32" i="1"/>
  <c r="N32" i="1"/>
  <c r="O32" i="1"/>
  <c r="D32" i="1"/>
  <c r="E61" i="1"/>
  <c r="F61" i="1"/>
  <c r="G61" i="1"/>
  <c r="H61" i="1"/>
  <c r="I61" i="1"/>
  <c r="J61" i="1"/>
  <c r="K61" i="1"/>
  <c r="L61" i="1"/>
  <c r="M61" i="1"/>
  <c r="N61" i="1"/>
  <c r="O61" i="1"/>
  <c r="E54" i="1"/>
  <c r="F54" i="1"/>
  <c r="G54" i="1"/>
  <c r="H54" i="1"/>
  <c r="I54" i="1"/>
  <c r="J54" i="1"/>
  <c r="K54" i="1"/>
  <c r="L54" i="1"/>
  <c r="M54" i="1"/>
  <c r="N54" i="1"/>
  <c r="O54" i="1"/>
  <c r="D54" i="1"/>
  <c r="E46" i="1"/>
  <c r="F46" i="1"/>
  <c r="G46" i="1"/>
  <c r="H46" i="1"/>
  <c r="I46" i="1"/>
  <c r="J46" i="1"/>
  <c r="K46" i="1"/>
  <c r="L46" i="1"/>
  <c r="M46" i="1"/>
  <c r="N46" i="1"/>
  <c r="O46" i="1"/>
  <c r="D46" i="1"/>
  <c r="D18" i="1"/>
  <c r="I5" i="1"/>
  <c r="I6" i="1"/>
  <c r="I7" i="1"/>
  <c r="I4" i="1"/>
  <c r="E16" i="1"/>
  <c r="N36" i="1" s="1"/>
  <c r="F5" i="1"/>
  <c r="F6" i="1"/>
  <c r="F7" i="1"/>
  <c r="F4" i="1"/>
  <c r="F36" i="2" l="1"/>
  <c r="H33" i="2"/>
  <c r="M33" i="2"/>
  <c r="F33" i="2"/>
  <c r="D36" i="2"/>
  <c r="D54" i="2" s="1"/>
  <c r="D37" i="2" s="1"/>
  <c r="D44" i="2" s="1"/>
  <c r="D10" i="2"/>
  <c r="D35" i="2" s="1"/>
  <c r="E36" i="2"/>
  <c r="P36" i="2" s="1"/>
  <c r="D12" i="2"/>
  <c r="P30" i="2"/>
  <c r="P32" i="2"/>
  <c r="E55" i="2"/>
  <c r="F55" i="2"/>
  <c r="J33" i="1"/>
  <c r="E33" i="1"/>
  <c r="D56" i="1"/>
  <c r="O56" i="1"/>
  <c r="N56" i="1"/>
  <c r="M56" i="1"/>
  <c r="L56" i="1"/>
  <c r="K56" i="1"/>
  <c r="J56" i="1"/>
  <c r="H56" i="1"/>
  <c r="G56" i="1"/>
  <c r="I56" i="1"/>
  <c r="F56" i="1"/>
  <c r="F33" i="1"/>
  <c r="H33" i="1"/>
  <c r="G33" i="1"/>
  <c r="K33" i="1"/>
  <c r="D33" i="1"/>
  <c r="M33" i="1"/>
  <c r="L33" i="1"/>
  <c r="N33" i="1"/>
  <c r="O33" i="1"/>
  <c r="P30" i="1"/>
  <c r="P32" i="1"/>
  <c r="D12" i="1"/>
  <c r="L36" i="1"/>
  <c r="J36" i="1"/>
  <c r="M36" i="1"/>
  <c r="K36" i="1"/>
  <c r="G36" i="1"/>
  <c r="I36" i="1"/>
  <c r="H36" i="1"/>
  <c r="F36" i="1"/>
  <c r="E36" i="1"/>
  <c r="O36" i="1"/>
  <c r="D36" i="1"/>
  <c r="D10" i="1"/>
  <c r="P33" i="2" l="1"/>
  <c r="D39" i="2"/>
  <c r="M35" i="2"/>
  <c r="J35" i="2"/>
  <c r="N35" i="2"/>
  <c r="O35" i="2"/>
  <c r="I35" i="2"/>
  <c r="E35" i="2"/>
  <c r="G35" i="2"/>
  <c r="E54" i="2"/>
  <c r="E37" i="2" s="1"/>
  <c r="E44" i="2" s="1"/>
  <c r="D58" i="2"/>
  <c r="D46" i="2"/>
  <c r="K35" i="2"/>
  <c r="F35" i="2"/>
  <c r="D50" i="2"/>
  <c r="D51" i="2" s="1"/>
  <c r="L35" i="2"/>
  <c r="H35" i="2"/>
  <c r="D56" i="2"/>
  <c r="M42" i="2"/>
  <c r="L42" i="2"/>
  <c r="H42" i="2"/>
  <c r="F42" i="2"/>
  <c r="K42" i="2"/>
  <c r="I42" i="2"/>
  <c r="J42" i="2"/>
  <c r="G42" i="2"/>
  <c r="E42" i="2"/>
  <c r="O42" i="2"/>
  <c r="N42" i="2"/>
  <c r="D42" i="2"/>
  <c r="D43" i="2" s="1"/>
  <c r="P33" i="1"/>
  <c r="D55" i="1"/>
  <c r="D35" i="1"/>
  <c r="E35" i="1"/>
  <c r="F35" i="1"/>
  <c r="G35" i="1"/>
  <c r="H35" i="1"/>
  <c r="I35" i="1"/>
  <c r="J35" i="1"/>
  <c r="K35" i="1"/>
  <c r="L35" i="1"/>
  <c r="M35" i="1"/>
  <c r="N35" i="1"/>
  <c r="O35" i="1"/>
  <c r="J42" i="1"/>
  <c r="K42" i="1"/>
  <c r="O42" i="1"/>
  <c r="D42" i="1"/>
  <c r="I42" i="1"/>
  <c r="H42" i="1"/>
  <c r="F42" i="1"/>
  <c r="E42" i="1"/>
  <c r="N42" i="1"/>
  <c r="M42" i="1"/>
  <c r="L42" i="1"/>
  <c r="G42" i="1"/>
  <c r="E39" i="2" l="1"/>
  <c r="E46" i="2"/>
  <c r="F54" i="2"/>
  <c r="F37" i="2" s="1"/>
  <c r="F44" i="2" s="1"/>
  <c r="E43" i="2"/>
  <c r="E56" i="2"/>
  <c r="E58" i="2" s="1"/>
  <c r="E50" i="2"/>
  <c r="E51" i="2" s="1"/>
  <c r="E47" i="2"/>
  <c r="E61" i="2" s="1"/>
  <c r="F56" i="2"/>
  <c r="G54" i="2"/>
  <c r="F50" i="2"/>
  <c r="F51" i="2" s="1"/>
  <c r="F46" i="2"/>
  <c r="F43" i="2"/>
  <c r="F47" i="2" s="1"/>
  <c r="F61" i="2" s="1"/>
  <c r="D47" i="2"/>
  <c r="D61" i="2" s="1"/>
  <c r="D63" i="2" s="1"/>
  <c r="D37" i="1"/>
  <c r="E63" i="2" l="1"/>
  <c r="D43" i="1"/>
  <c r="D44" i="1"/>
  <c r="D57" i="1"/>
  <c r="F39" i="2"/>
  <c r="F58" i="2"/>
  <c r="F63" i="2" s="1"/>
  <c r="F64" i="2" s="1"/>
  <c r="D64" i="2"/>
  <c r="D66" i="2"/>
  <c r="G37" i="2"/>
  <c r="E55" i="1"/>
  <c r="D51" i="1"/>
  <c r="D52" i="1" s="1"/>
  <c r="D47" i="1"/>
  <c r="D48" i="1" s="1"/>
  <c r="D62" i="1" s="1"/>
  <c r="D39" i="1"/>
  <c r="D40" i="2" s="1"/>
  <c r="D59" i="1"/>
  <c r="D68" i="2" l="1"/>
  <c r="D64" i="1"/>
  <c r="D65" i="1" s="1"/>
  <c r="G44" i="2"/>
  <c r="G56" i="2"/>
  <c r="F66" i="2"/>
  <c r="F68" i="2" s="1"/>
  <c r="E64" i="2"/>
  <c r="E66" i="2"/>
  <c r="E68" i="2" s="1"/>
  <c r="H54" i="2"/>
  <c r="H37" i="2" s="1"/>
  <c r="G46" i="2"/>
  <c r="G50" i="2"/>
  <c r="G51" i="2" s="1"/>
  <c r="G43" i="2"/>
  <c r="G58" i="2"/>
  <c r="G39" i="2"/>
  <c r="E37" i="1"/>
  <c r="E44" i="1" l="1"/>
  <c r="E57" i="1"/>
  <c r="H44" i="2"/>
  <c r="H56" i="2"/>
  <c r="D67" i="1"/>
  <c r="G47" i="2"/>
  <c r="G61" i="2" s="1"/>
  <c r="G63" i="2" s="1"/>
  <c r="I54" i="2"/>
  <c r="I37" i="2" s="1"/>
  <c r="H46" i="2"/>
  <c r="H50" i="2"/>
  <c r="H51" i="2" s="1"/>
  <c r="H43" i="2"/>
  <c r="H47" i="2" s="1"/>
  <c r="H61" i="2" s="1"/>
  <c r="H58" i="2"/>
  <c r="H39" i="2"/>
  <c r="E51" i="1"/>
  <c r="E52" i="1" s="1"/>
  <c r="F55" i="1"/>
  <c r="E39" i="1"/>
  <c r="E40" i="2" s="1"/>
  <c r="E47" i="1"/>
  <c r="E59" i="1"/>
  <c r="F37" i="1"/>
  <c r="E43" i="1"/>
  <c r="E48" i="1" s="1"/>
  <c r="E62" i="1" s="1"/>
  <c r="E64" i="1" s="1"/>
  <c r="D69" i="1" l="1"/>
  <c r="D69" i="2" s="1"/>
  <c r="D67" i="2"/>
  <c r="F44" i="1"/>
  <c r="F57" i="1"/>
  <c r="I44" i="2"/>
  <c r="I56" i="2"/>
  <c r="H63" i="2"/>
  <c r="I58" i="2"/>
  <c r="I50" i="2"/>
  <c r="I51" i="2" s="1"/>
  <c r="I46" i="2"/>
  <c r="I43" i="2"/>
  <c r="I47" i="2" s="1"/>
  <c r="I61" i="2" s="1"/>
  <c r="J54" i="2"/>
  <c r="J37" i="2" s="1"/>
  <c r="I39" i="2"/>
  <c r="H64" i="2"/>
  <c r="F43" i="1"/>
  <c r="F51" i="1"/>
  <c r="F52" i="1" s="1"/>
  <c r="F47" i="1"/>
  <c r="F39" i="1"/>
  <c r="F40" i="2" s="1"/>
  <c r="G55" i="1"/>
  <c r="E65" i="1"/>
  <c r="F59" i="1"/>
  <c r="I63" i="2" l="1"/>
  <c r="J44" i="2"/>
  <c r="J56" i="2"/>
  <c r="J50" i="2"/>
  <c r="J51" i="2" s="1"/>
  <c r="J46" i="2"/>
  <c r="J43" i="2"/>
  <c r="K54" i="2"/>
  <c r="J39" i="2"/>
  <c r="J58" i="2"/>
  <c r="G64" i="2"/>
  <c r="G66" i="2"/>
  <c r="G68" i="2" s="1"/>
  <c r="H66" i="2"/>
  <c r="H68" i="2" s="1"/>
  <c r="G37" i="1"/>
  <c r="F48" i="1"/>
  <c r="E67" i="1"/>
  <c r="E69" i="1" l="1"/>
  <c r="E69" i="2" s="1"/>
  <c r="E67" i="2"/>
  <c r="J47" i="2"/>
  <c r="J61" i="2" s="1"/>
  <c r="G44" i="1"/>
  <c r="G57" i="1"/>
  <c r="F62" i="1"/>
  <c r="F64" i="1" s="1"/>
  <c r="F65" i="1" s="1"/>
  <c r="J63" i="2"/>
  <c r="J64" i="2" s="1"/>
  <c r="K37" i="2"/>
  <c r="G59" i="1"/>
  <c r="G43" i="1"/>
  <c r="G47" i="1"/>
  <c r="G39" i="1"/>
  <c r="G40" i="2" s="1"/>
  <c r="H55" i="1"/>
  <c r="H37" i="1" s="1"/>
  <c r="G51" i="1"/>
  <c r="G52" i="1" s="1"/>
  <c r="H44" i="1" l="1"/>
  <c r="H57" i="1"/>
  <c r="F67" i="1"/>
  <c r="K44" i="2"/>
  <c r="K56" i="2"/>
  <c r="K58" i="2" s="1"/>
  <c r="I64" i="2"/>
  <c r="I66" i="2"/>
  <c r="I68" i="2" s="1"/>
  <c r="J66" i="2"/>
  <c r="J68" i="2" s="1"/>
  <c r="K46" i="2"/>
  <c r="K43" i="2"/>
  <c r="K47" i="2" s="1"/>
  <c r="K61" i="2" s="1"/>
  <c r="K50" i="2"/>
  <c r="K51" i="2" s="1"/>
  <c r="L54" i="2"/>
  <c r="K39" i="2"/>
  <c r="H43" i="1"/>
  <c r="H51" i="1"/>
  <c r="H52" i="1" s="1"/>
  <c r="H39" i="1"/>
  <c r="H40" i="2" s="1"/>
  <c r="H47" i="1"/>
  <c r="I55" i="1"/>
  <c r="H59" i="1"/>
  <c r="G48" i="1"/>
  <c r="G62" i="1" s="1"/>
  <c r="G64" i="1" s="1"/>
  <c r="G65" i="1" s="1"/>
  <c r="F69" i="1" l="1"/>
  <c r="F69" i="2" s="1"/>
  <c r="F67" i="2"/>
  <c r="K63" i="2"/>
  <c r="K64" i="2" s="1"/>
  <c r="G67" i="1"/>
  <c r="L37" i="2"/>
  <c r="I37" i="1"/>
  <c r="H48" i="1"/>
  <c r="H62" i="1" s="1"/>
  <c r="H64" i="1" s="1"/>
  <c r="H65" i="1" s="1"/>
  <c r="G69" i="1" l="1"/>
  <c r="G69" i="2" s="1"/>
  <c r="G67" i="2"/>
  <c r="I44" i="1"/>
  <c r="I57" i="1"/>
  <c r="I59" i="1" s="1"/>
  <c r="L44" i="2"/>
  <c r="L56" i="2"/>
  <c r="H67" i="1"/>
  <c r="L46" i="2"/>
  <c r="L43" i="2"/>
  <c r="L47" i="2" s="1"/>
  <c r="L61" i="2" s="1"/>
  <c r="M54" i="2"/>
  <c r="L50" i="2"/>
  <c r="L51" i="2" s="1"/>
  <c r="L58" i="2"/>
  <c r="L39" i="2"/>
  <c r="K66" i="2"/>
  <c r="K68" i="2" s="1"/>
  <c r="I39" i="1"/>
  <c r="I40" i="2" s="1"/>
  <c r="J55" i="1"/>
  <c r="I47" i="1"/>
  <c r="I51" i="1"/>
  <c r="I52" i="1" s="1"/>
  <c r="I43" i="1"/>
  <c r="I48" i="1" s="1"/>
  <c r="I62" i="1" s="1"/>
  <c r="J37" i="1"/>
  <c r="H69" i="1" l="1"/>
  <c r="H69" i="2" s="1"/>
  <c r="H67" i="2"/>
  <c r="I64" i="1"/>
  <c r="I65" i="1" s="1"/>
  <c r="J44" i="1"/>
  <c r="J57" i="1"/>
  <c r="L63" i="2"/>
  <c r="L64" i="2" s="1"/>
  <c r="M37" i="2"/>
  <c r="J43" i="1"/>
  <c r="J47" i="1"/>
  <c r="J39" i="1"/>
  <c r="J40" i="2" s="1"/>
  <c r="J51" i="1"/>
  <c r="J52" i="1" s="1"/>
  <c r="K55" i="1"/>
  <c r="J59" i="1"/>
  <c r="M44" i="2" l="1"/>
  <c r="M56" i="2"/>
  <c r="M43" i="2"/>
  <c r="N54" i="2"/>
  <c r="N37" i="2" s="1"/>
  <c r="M58" i="2"/>
  <c r="M50" i="2"/>
  <c r="M51" i="2" s="1"/>
  <c r="M46" i="2"/>
  <c r="M39" i="2"/>
  <c r="L66" i="2"/>
  <c r="I67" i="1"/>
  <c r="K37" i="1"/>
  <c r="J48" i="1"/>
  <c r="I69" i="1" l="1"/>
  <c r="I69" i="2" s="1"/>
  <c r="I67" i="2"/>
  <c r="L68" i="2"/>
  <c r="K44" i="1"/>
  <c r="K57" i="1"/>
  <c r="J62" i="1"/>
  <c r="J64" i="1" s="1"/>
  <c r="J65" i="1" s="1"/>
  <c r="N44" i="2"/>
  <c r="N56" i="2"/>
  <c r="N50" i="2"/>
  <c r="N51" i="2" s="1"/>
  <c r="O54" i="2"/>
  <c r="O37" i="2" s="1"/>
  <c r="N46" i="2"/>
  <c r="N43" i="2"/>
  <c r="N47" i="2" s="1"/>
  <c r="N61" i="2" s="1"/>
  <c r="N39" i="2"/>
  <c r="N58" i="2"/>
  <c r="M47" i="2"/>
  <c r="M61" i="2" s="1"/>
  <c r="M63" i="2" s="1"/>
  <c r="M64" i="2" s="1"/>
  <c r="K43" i="1"/>
  <c r="K39" i="1"/>
  <c r="K40" i="2" s="1"/>
  <c r="K51" i="1"/>
  <c r="K52" i="1" s="1"/>
  <c r="L55" i="1"/>
  <c r="K59" i="1"/>
  <c r="K47" i="1"/>
  <c r="J67" i="1" l="1"/>
  <c r="N63" i="2"/>
  <c r="O44" i="2"/>
  <c r="O56" i="2"/>
  <c r="M66" i="2"/>
  <c r="N64" i="2"/>
  <c r="O50" i="2"/>
  <c r="O51" i="2" s="1"/>
  <c r="P51" i="2" s="1"/>
  <c r="O46" i="2"/>
  <c r="P46" i="2" s="1"/>
  <c r="O43" i="2"/>
  <c r="O39" i="2"/>
  <c r="O58" i="2"/>
  <c r="P58" i="2" s="1"/>
  <c r="L37" i="1"/>
  <c r="K48" i="1"/>
  <c r="K62" i="1" s="1"/>
  <c r="K64" i="1" s="1"/>
  <c r="K65" i="1" s="1"/>
  <c r="J69" i="1" l="1"/>
  <c r="J69" i="2" s="1"/>
  <c r="J67" i="2"/>
  <c r="M68" i="2"/>
  <c r="L44" i="1"/>
  <c r="L57" i="1"/>
  <c r="L59" i="1" s="1"/>
  <c r="K67" i="1"/>
  <c r="P39" i="2"/>
  <c r="O47" i="2"/>
  <c r="P43" i="2"/>
  <c r="N66" i="2"/>
  <c r="N68" i="2" s="1"/>
  <c r="L47" i="1"/>
  <c r="L43" i="1"/>
  <c r="L51" i="1"/>
  <c r="L52" i="1" s="1"/>
  <c r="M55" i="1"/>
  <c r="M37" i="1" s="1"/>
  <c r="L39" i="1"/>
  <c r="L40" i="2" s="1"/>
  <c r="K69" i="1" l="1"/>
  <c r="K69" i="2" s="1"/>
  <c r="K67" i="2"/>
  <c r="M44" i="1"/>
  <c r="M57" i="1"/>
  <c r="P47" i="2"/>
  <c r="O61" i="2"/>
  <c r="O63" i="2" s="1"/>
  <c r="O66" i="2" s="1"/>
  <c r="O68" i="2" s="1"/>
  <c r="M51" i="1"/>
  <c r="M52" i="1" s="1"/>
  <c r="M59" i="1"/>
  <c r="M47" i="1"/>
  <c r="N55" i="1"/>
  <c r="N37" i="1" s="1"/>
  <c r="M39" i="1"/>
  <c r="M40" i="2" s="1"/>
  <c r="M43" i="1"/>
  <c r="M48" i="1" s="1"/>
  <c r="M62" i="1" s="1"/>
  <c r="M64" i="1" s="1"/>
  <c r="L48" i="1"/>
  <c r="L62" i="1" s="1"/>
  <c r="L64" i="1" s="1"/>
  <c r="L65" i="1" s="1"/>
  <c r="P61" i="2" l="1"/>
  <c r="N44" i="1"/>
  <c r="N57" i="1"/>
  <c r="N59" i="1" s="1"/>
  <c r="O64" i="2"/>
  <c r="P63" i="2"/>
  <c r="P66" i="2" s="1"/>
  <c r="L67" i="1"/>
  <c r="N47" i="1"/>
  <c r="N43" i="1"/>
  <c r="N51" i="1"/>
  <c r="N52" i="1" s="1"/>
  <c r="N39" i="1"/>
  <c r="N40" i="2" s="1"/>
  <c r="O55" i="1"/>
  <c r="O37" i="1" s="1"/>
  <c r="M65" i="1"/>
  <c r="L69" i="1" l="1"/>
  <c r="L69" i="2" s="1"/>
  <c r="L67" i="2"/>
  <c r="P68" i="2"/>
  <c r="G26" i="2" s="1"/>
  <c r="O44" i="1"/>
  <c r="O57" i="1"/>
  <c r="M67" i="1"/>
  <c r="O39" i="1"/>
  <c r="O40" i="2" s="1"/>
  <c r="O43" i="1"/>
  <c r="O48" i="1" s="1"/>
  <c r="O47" i="1"/>
  <c r="P47" i="1" s="1"/>
  <c r="O51" i="1"/>
  <c r="O52" i="1" s="1"/>
  <c r="P52" i="1" s="1"/>
  <c r="N48" i="1"/>
  <c r="O59" i="1"/>
  <c r="M69" i="1" l="1"/>
  <c r="M69" i="2" s="1"/>
  <c r="M67" i="2"/>
  <c r="P39" i="1"/>
  <c r="P40" i="2" s="1"/>
  <c r="Q40" i="2" s="1"/>
  <c r="P43" i="1"/>
  <c r="P48" i="1"/>
  <c r="O62" i="1"/>
  <c r="O64" i="1" s="1"/>
  <c r="N62" i="1"/>
  <c r="N64" i="1" s="1"/>
  <c r="N65" i="1" s="1"/>
  <c r="P59" i="1"/>
  <c r="P62" i="1" l="1"/>
  <c r="N67" i="1"/>
  <c r="O65" i="1"/>
  <c r="O67" i="1"/>
  <c r="P64" i="1"/>
  <c r="P67" i="1" s="1"/>
  <c r="O69" i="1" l="1"/>
  <c r="O69" i="2" s="1"/>
  <c r="O67" i="2"/>
  <c r="N69" i="1"/>
  <c r="N69" i="2" s="1"/>
  <c r="N67" i="2"/>
  <c r="P69" i="1"/>
  <c r="P67" i="2"/>
  <c r="Q66" i="2" s="1"/>
  <c r="G26" i="1" l="1"/>
  <c r="P69" i="2"/>
</calcChain>
</file>

<file path=xl/sharedStrings.xml><?xml version="1.0" encoding="utf-8"?>
<sst xmlns="http://schemas.openxmlformats.org/spreadsheetml/2006/main" count="137" uniqueCount="66">
  <si>
    <t>Competence desrtibution</t>
  </si>
  <si>
    <t>Architect/Principal</t>
  </si>
  <si>
    <t>Senior</t>
  </si>
  <si>
    <t>Junior</t>
  </si>
  <si>
    <t>Midlle</t>
  </si>
  <si>
    <t>Time Scale</t>
  </si>
  <si>
    <t>Jan</t>
  </si>
  <si>
    <t>Feb</t>
  </si>
  <si>
    <t>Mar</t>
  </si>
  <si>
    <t>Apr</t>
  </si>
  <si>
    <t>May</t>
  </si>
  <si>
    <t>Jun</t>
  </si>
  <si>
    <t xml:space="preserve">Jul </t>
  </si>
  <si>
    <t>Aug</t>
  </si>
  <si>
    <t>Sep</t>
  </si>
  <si>
    <t>Oct</t>
  </si>
  <si>
    <t>Nov</t>
  </si>
  <si>
    <t>Dec</t>
  </si>
  <si>
    <t xml:space="preserve">Office space  per person, sq.m </t>
  </si>
  <si>
    <t xml:space="preserve">Budgeted growth rate </t>
  </si>
  <si>
    <t>Admin Headcount ratio</t>
  </si>
  <si>
    <t>Initial prod headcount</t>
  </si>
  <si>
    <t>sq m rate, usd</t>
  </si>
  <si>
    <t xml:space="preserve">Blended Rate, usd </t>
  </si>
  <si>
    <t>Average Rate,usd</t>
  </si>
  <si>
    <t>Average salery</t>
  </si>
  <si>
    <t>Admin</t>
  </si>
  <si>
    <t>Average monthly working days</t>
  </si>
  <si>
    <t>Revenue</t>
  </si>
  <si>
    <t>Total endof period headcount</t>
  </si>
  <si>
    <t>Workplace prod cost</t>
  </si>
  <si>
    <t>Prod salaries</t>
  </si>
  <si>
    <t>Avarage salery</t>
  </si>
  <si>
    <t>Total workplace</t>
  </si>
  <si>
    <t>Individual workplace</t>
  </si>
  <si>
    <t>Direct cost</t>
  </si>
  <si>
    <t>Retention</t>
  </si>
  <si>
    <t>Budgeted cost of hiring</t>
  </si>
  <si>
    <t>Bench prod headcount</t>
  </si>
  <si>
    <t>Bench production and presale</t>
  </si>
  <si>
    <t>S&amp;A ratio</t>
  </si>
  <si>
    <t>S&amp;A cost</t>
  </si>
  <si>
    <t>Hiring cost</t>
  </si>
  <si>
    <t>Overhead</t>
  </si>
  <si>
    <t>Overhead per billable FTE</t>
  </si>
  <si>
    <t>mEBIDTA</t>
  </si>
  <si>
    <t>EBIDTA</t>
  </si>
  <si>
    <t>YtD</t>
  </si>
  <si>
    <t>Vacations and sickness</t>
  </si>
  <si>
    <t xml:space="preserve">Cashflow stability </t>
  </si>
  <si>
    <t>Budgeted average revenue growth rate</t>
  </si>
  <si>
    <t>Hiring cost per higher</t>
  </si>
  <si>
    <t>Office sq m rate</t>
  </si>
  <si>
    <t>Office space</t>
  </si>
  <si>
    <t>Prod headcount</t>
  </si>
  <si>
    <t>Office space cost</t>
  </si>
  <si>
    <t>Utilization</t>
  </si>
  <si>
    <t>Retention, count</t>
  </si>
  <si>
    <t>Retentipn rate</t>
  </si>
  <si>
    <t>Open positions</t>
  </si>
  <si>
    <t>Bench placement rate</t>
  </si>
  <si>
    <t>From bench placement rate</t>
  </si>
  <si>
    <t>S&amp;A rate to direct cost</t>
  </si>
  <si>
    <t>Revenue deviation</t>
  </si>
  <si>
    <t>mEBIDTA deviation</t>
  </si>
  <si>
    <t>EBIDTA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</si>
</sst>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2" fillId="0" borderId="0" xfId="1" applyNumberFormat="1" applyFont="1"/>
    <xf numFmtId="10" fontId="2" fillId="0" borderId="0" xfId="1" applyNumberFormat="1" applyFont="1"/>
    <xf numFmtId="10" fontId="0" fillId="0" borderId="0" xfId="0" applyNumberFormat="1" applyFont="1"/>
    <xf numFmtId="1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Fill="1"/>
    <xf numFmtId="10" fontId="2" fillId="0" borderId="0" xfId="0" applyNumberFormat="1" applyFont="1"/>
    <xf numFmtId="0" fontId="0" fillId="2" borderId="0" xfId="0" applyFill="1"/>
    <xf numFmtId="10" fontId="0" fillId="2" borderId="0" xfId="0" applyNumberFormat="1" applyFont="1" applyFill="1"/>
    <xf numFmtId="3" fontId="0" fillId="2" borderId="0" xfId="0" applyNumberFormat="1" applyFill="1"/>
    <xf numFmtId="10" fontId="0" fillId="2" borderId="0" xfId="1" applyNumberFormat="1" applyFon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Budgeted!$C$39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Budgeted!$D$39:$O$39</c:f>
              <c:numCache>
                <c:formatCode>#,##0</c:formatCode>
                <c:ptCount val="12"/>
                <c:pt idx="0">
                  <c:v>4120568.2354678418</c:v>
                </c:pt>
                <c:pt idx="1">
                  <c:v>4425146.524617197</c:v>
                </c:pt>
                <c:pt idx="2">
                  <c:v>4492893.1747928122</c:v>
                </c:pt>
                <c:pt idx="3">
                  <c:v>4412309.7018264392</c:v>
                </c:pt>
                <c:pt idx="4">
                  <c:v>4378757.1453215741</c:v>
                </c:pt>
                <c:pt idx="5">
                  <c:v>4445793.5986633627</c:v>
                </c:pt>
                <c:pt idx="6">
                  <c:v>4461745.327008862</c:v>
                </c:pt>
                <c:pt idx="7">
                  <c:v>4582961.0951578245</c:v>
                </c:pt>
                <c:pt idx="8">
                  <c:v>4921717.8805900505</c:v>
                </c:pt>
                <c:pt idx="9">
                  <c:v>4997066.7752909437</c:v>
                </c:pt>
                <c:pt idx="10">
                  <c:v>5073569.2216724474</c:v>
                </c:pt>
                <c:pt idx="11">
                  <c:v>4870122.8799999868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8-4AE3-9E5E-41367272027C}"/>
            </c:ext>
          </c:extLst>
        </c:ser>
        <c:ser>
          <c:idx val="1"/>
          <c:order val="1"/>
          <c:tx>
            <c:strRef>
              <c:f>Budgeted!$C$48</c:f>
              <c:strCache>
                <c:ptCount val="1"/>
                <c:pt idx="0">
                  <c:v>Direct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Budgeted!$D$48:$O$48</c:f>
              <c:numCache>
                <c:formatCode>#,##0</c:formatCode>
                <c:ptCount val="12"/>
                <c:pt idx="0">
                  <c:v>2995162.9379742071</c:v>
                </c:pt>
                <c:pt idx="1">
                  <c:v>3041017.296615012</c:v>
                </c:pt>
                <c:pt idx="2">
                  <c:v>3087573.661206712</c:v>
                </c:pt>
                <c:pt idx="3">
                  <c:v>3134842.779088703</c:v>
                </c:pt>
                <c:pt idx="4">
                  <c:v>3182835.5621364573</c:v>
                </c:pt>
                <c:pt idx="5">
                  <c:v>3231563.089280481</c:v>
                </c:pt>
                <c:pt idx="6">
                  <c:v>3281036.6090638409</c:v>
                </c:pt>
                <c:pt idx="7">
                  <c:v>3331267.5422388422</c:v>
                </c:pt>
                <c:pt idx="8">
                  <c:v>3382267.4844034598</c:v>
                </c:pt>
                <c:pt idx="9">
                  <c:v>3434048.2086781347</c:v>
                </c:pt>
                <c:pt idx="10">
                  <c:v>3486621.6684235474</c:v>
                </c:pt>
                <c:pt idx="11">
                  <c:v>3540000.0000000014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F8-4AE3-9E5E-41367272027C}"/>
            </c:ext>
          </c:extLst>
        </c:ser>
        <c:ser>
          <c:idx val="3"/>
          <c:order val="2"/>
          <c:tx>
            <c:strRef>
              <c:f>Budgeted!$C$64</c:f>
              <c:strCache>
                <c:ptCount val="1"/>
                <c:pt idx="0">
                  <c:v>Overhead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Budgeted!$D$64:$O$64</c:f>
              <c:numCache>
                <c:formatCode>#,##0</c:formatCode>
                <c:ptCount val="12"/>
                <c:pt idx="0">
                  <c:v>374249.56330557214</c:v>
                </c:pt>
                <c:pt idx="1">
                  <c:v>379979.12595453614</c:v>
                </c:pt>
                <c:pt idx="2">
                  <c:v>385796.40517385077</c:v>
                </c:pt>
                <c:pt idx="3">
                  <c:v>391702.74385776219</c:v>
                </c:pt>
                <c:pt idx="4">
                  <c:v>397699.50545951637</c:v>
                </c:pt>
                <c:pt idx="5">
                  <c:v>403788.07430610654</c:v>
                </c:pt>
                <c:pt idx="6">
                  <c:v>409969.85591783922</c:v>
                </c:pt>
                <c:pt idx="7">
                  <c:v>416246.27733279241</c:v>
                </c:pt>
                <c:pt idx="8">
                  <c:v>422618.78743624175</c:v>
                </c:pt>
                <c:pt idx="9">
                  <c:v>429088.8572951291</c:v>
                </c:pt>
                <c:pt idx="10">
                  <c:v>435657.98049765226</c:v>
                </c:pt>
                <c:pt idx="11">
                  <c:v>442327.67349805357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F8-4AE3-9E5E-41367272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478920"/>
        <c:axId val="895477608"/>
      </c:lineChart>
      <c:catAx>
        <c:axId val="89547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77608"/>
        <c:crosses val="autoZero"/>
        <c:auto val="1"/>
        <c:lblAlgn val="ctr"/>
        <c:lblOffset val="100"/>
        <c:noMultiLvlLbl val="0"/>
      </c:catAx>
      <c:valAx>
        <c:axId val="8954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61-46DE-BE6F-66C1A42BF8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61-46DE-BE6F-66C1A42BF8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61-46DE-BE6F-66C1A42BF8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61-46DE-BE6F-66C1A42BF8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61-46DE-BE6F-66C1A42BF8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61-46DE-BE6F-66C1A42BF8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(Budgeted!$C$43,Budgeted!$C$47,Budgeted!$C$52,Budgeted!$C$59,Budgeted!$C$62,Budgeted!$C$67)</c:f>
              <c:strCache>
                <c:ptCount val="6"/>
                <c:pt idx="0">
                  <c:v>Prod salaries</c:v>
                </c:pt>
                <c:pt idx="1">
                  <c:v>Total workplace</c:v>
                </c:pt>
                <c:pt idx="2">
                  <c:v>Office space cost</c:v>
                </c:pt>
                <c:pt idx="3">
                  <c:v>Hiring cost</c:v>
                </c:pt>
                <c:pt idx="4">
                  <c:v>S&amp;A cost</c:v>
                </c:pt>
                <c:pt idx="5">
                  <c:v>EBIDTA</c:v>
                </c:pt>
              </c:strCache>
            </c:strRef>
          </c:cat>
          <c:val>
            <c:numRef>
              <c:f>(Budgeted!$P$43,Budgeted!$P$47,Budgeted!$P$52,Budgeted!$P$59,Budgeted!$P$62,Budgeted!$P$67)</c:f>
              <c:numCache>
                <c:formatCode>#,##0</c:formatCode>
                <c:ptCount val="6"/>
                <c:pt idx="0">
                  <c:v>37801855.929309078</c:v>
                </c:pt>
                <c:pt idx="1">
                  <c:v>1326380.9098003183</c:v>
                </c:pt>
                <c:pt idx="2">
                  <c:v>2669341.5809731409</c:v>
                </c:pt>
                <c:pt idx="3">
                  <c:v>67730.242910894594</c:v>
                </c:pt>
                <c:pt idx="4">
                  <c:v>2152053.0261510173</c:v>
                </c:pt>
                <c:pt idx="5">
                  <c:v>11165289.871264886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7-40ED-B89C-FE3993469B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'L-shape'!$C$39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'L-shape'!$D$39:$O$39</c:f>
              <c:numCache>
                <c:formatCode>#,##0</c:formatCode>
                <c:ptCount val="12"/>
                <c:pt idx="0">
                  <c:v>4120568.2354678418</c:v>
                </c:pt>
                <c:pt idx="1">
                  <c:v>4425146.524617197</c:v>
                </c:pt>
                <c:pt idx="2">
                  <c:v>4492893.1747928122</c:v>
                </c:pt>
                <c:pt idx="3">
                  <c:v>4250300.4817596311</c:v>
                </c:pt>
                <c:pt idx="4">
                  <c:v>4190857.2041779715</c:v>
                </c:pt>
                <c:pt idx="5">
                  <c:v>4273238.6645670542</c:v>
                </c:pt>
                <c:pt idx="6">
                  <c:v>4207637.3964235</c:v>
                </c:pt>
                <c:pt idx="7">
                  <c:v>4265583.3651921032</c:v>
                </c:pt>
                <c:pt idx="8">
                  <c:v>4472633.5533773173</c:v>
                </c:pt>
                <c:pt idx="9">
                  <c:v>4481578.820484072</c:v>
                </c:pt>
                <c:pt idx="10">
                  <c:v>4515456.2145771319</c:v>
                </c:pt>
                <c:pt idx="11">
                  <c:v>4299810.5426813215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3-489C-837B-315EFDF29607}"/>
            </c:ext>
          </c:extLst>
        </c:ser>
        <c:ser>
          <c:idx val="1"/>
          <c:order val="1"/>
          <c:tx>
            <c:strRef>
              <c:f>'L-shape'!$C$47</c:f>
              <c:strCache>
                <c:ptCount val="1"/>
                <c:pt idx="0">
                  <c:v>Direct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'L-shape'!$D$47:$O$47</c:f>
              <c:numCache>
                <c:formatCode>#,##0</c:formatCode>
                <c:ptCount val="12"/>
                <c:pt idx="0">
                  <c:v>2995162.9379742071</c:v>
                </c:pt>
                <c:pt idx="1">
                  <c:v>3041017.296615012</c:v>
                </c:pt>
                <c:pt idx="2">
                  <c:v>3087573.661206712</c:v>
                </c:pt>
                <c:pt idx="3">
                  <c:v>3093748.8085291255</c:v>
                </c:pt>
                <c:pt idx="4">
                  <c:v>3099936.3061461831</c:v>
                </c:pt>
                <c:pt idx="5">
                  <c:v>3106136.1787584755</c:v>
                </c:pt>
                <c:pt idx="6">
                  <c:v>3112348.4511159924</c:v>
                </c:pt>
                <c:pt idx="7">
                  <c:v>3118573.1480182246</c:v>
                </c:pt>
                <c:pt idx="8">
                  <c:v>3124810.2943142606</c:v>
                </c:pt>
                <c:pt idx="9">
                  <c:v>3131059.9149028892</c:v>
                </c:pt>
                <c:pt idx="10">
                  <c:v>3137322.0347326957</c:v>
                </c:pt>
                <c:pt idx="11">
                  <c:v>3143596.678802161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3-489C-837B-315EFDF29607}"/>
            </c:ext>
          </c:extLst>
        </c:ser>
        <c:ser>
          <c:idx val="3"/>
          <c:order val="2"/>
          <c:tx>
            <c:strRef>
              <c:f>'L-shape'!$C$63</c:f>
              <c:strCache>
                <c:ptCount val="1"/>
                <c:pt idx="0">
                  <c:v>Overhead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'L-shape'!$D$63:$O$63</c:f>
              <c:numCache>
                <c:formatCode>#,##0</c:formatCode>
                <c:ptCount val="12"/>
                <c:pt idx="0">
                  <c:v>374249.56330557214</c:v>
                </c:pt>
                <c:pt idx="1">
                  <c:v>379979.12595453614</c:v>
                </c:pt>
                <c:pt idx="2">
                  <c:v>385796.40517385077</c:v>
                </c:pt>
                <c:pt idx="3">
                  <c:v>382029.78030517796</c:v>
                </c:pt>
                <c:pt idx="4">
                  <c:v>382793.83986578829</c:v>
                </c:pt>
                <c:pt idx="5">
                  <c:v>383433.32844154094</c:v>
                </c:pt>
                <c:pt idx="6">
                  <c:v>384200.1950984241</c:v>
                </c:pt>
                <c:pt idx="7">
                  <c:v>384968.59548862092</c:v>
                </c:pt>
                <c:pt idx="8">
                  <c:v>385738.53267959814</c:v>
                </c:pt>
                <c:pt idx="9">
                  <c:v>386510.00974495738</c:v>
                </c:pt>
                <c:pt idx="10">
                  <c:v>387283.02976444736</c:v>
                </c:pt>
                <c:pt idx="11">
                  <c:v>388057.59582397621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3-489C-837B-315EFDF2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478920"/>
        <c:axId val="895477608"/>
      </c:lineChart>
      <c:catAx>
        <c:axId val="89547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77608"/>
        <c:crosses val="autoZero"/>
        <c:auto val="1"/>
        <c:lblAlgn val="ctr"/>
        <c:lblOffset val="100"/>
        <c:noMultiLvlLbl val="0"/>
      </c:catAx>
      <c:valAx>
        <c:axId val="8954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DE-4949-9C8E-859B171FE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DE-4949-9C8E-859B171FE8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DE-4949-9C8E-859B171FE8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DE-4949-9C8E-859B171FE8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DE-4949-9C8E-859B171FE8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7DE-4949-9C8E-859B171FE8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('L-shape'!$C$43,'L-shape'!$C$46,'L-shape'!$C$51,'L-shape'!$C$58,'L-shape'!$C$61,'L-shape'!$C$66)</c:f>
              <c:strCache>
                <c:ptCount val="6"/>
                <c:pt idx="0">
                  <c:v>Prod salaries</c:v>
                </c:pt>
                <c:pt idx="1">
                  <c:v>Total workplace</c:v>
                </c:pt>
                <c:pt idx="2">
                  <c:v>Office space cost</c:v>
                </c:pt>
                <c:pt idx="3">
                  <c:v>Hiring cost</c:v>
                </c:pt>
                <c:pt idx="4">
                  <c:v>S&amp;A cost</c:v>
                </c:pt>
                <c:pt idx="5">
                  <c:v>EBIDTA</c:v>
                </c:pt>
              </c:strCache>
            </c:strRef>
          </c:cat>
          <c:val>
            <c:numRef>
              <c:f>('L-shape'!$P$43,'L-shape'!$P$46,'L-shape'!$P$51,'L-shape'!$P$58,'L-shape'!$P$61,'L-shape'!$P$66)</c:f>
              <c:numCache>
                <c:formatCode>#,##0</c:formatCode>
                <c:ptCount val="6"/>
                <c:pt idx="0">
                  <c:v>35930564.16158659</c:v>
                </c:pt>
                <c:pt idx="1">
                  <c:v>1260721.5495293536</c:v>
                </c:pt>
                <c:pt idx="2">
                  <c:v>2537202.1184278247</c:v>
                </c:pt>
                <c:pt idx="3">
                  <c:v>22317.16910728933</c:v>
                </c:pt>
                <c:pt idx="4">
                  <c:v>2045520.7141113766</c:v>
                </c:pt>
                <c:pt idx="5">
                  <c:v>10199378.465355514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C37-9085-CEBA102D4D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471206</xdr:colOff>
      <xdr:row>7</xdr:row>
      <xdr:rowOff>89086</xdr:rowOff>
    </xdr:from>
    <xdr:to>
      <xdr:col>18</xdr:col>
      <xdr:colOff>471766</xdr:colOff>
      <xdr:row>24</xdr:row>
      <xdr:rowOff>99172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70D66-F0FD-4B85-B1B2-D20A644FA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73398</xdr:colOff>
      <xdr:row>8</xdr:row>
      <xdr:rowOff>66674</xdr:rowOff>
    </xdr:from>
    <xdr:to>
      <xdr:col>10</xdr:col>
      <xdr:colOff>637054</xdr:colOff>
      <xdr:row>22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B229A-1EB2-4CD6-B6C0-B6ACA48AC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252131</xdr:colOff>
      <xdr:row>7</xdr:row>
      <xdr:rowOff>79561</xdr:rowOff>
    </xdr:from>
    <xdr:to>
      <xdr:col>19</xdr:col>
      <xdr:colOff>319366</xdr:colOff>
      <xdr:row>24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15E51-17C9-4F10-9C66-9F1842A49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10</xdr:row>
      <xdr:rowOff>4762</xdr:rowOff>
    </xdr:from>
    <xdr:to>
      <xdr:col>10</xdr:col>
      <xdr:colOff>623887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EAD3F8-26F1-445C-9390-C3FD88C4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8E6D-47E0-4384-84FF-4923A8B4D9A3}">
  <dimension ref="C3:Q76"/>
  <sheetViews>
    <sheetView tabSelected="1" zoomScaleNormal="100" workbookViewId="0">
      <selection activeCell="F48" sqref="F48"/>
    </sheetView>
  </sheetViews>
  <sheetFormatPr defaultRowHeight="15" x14ac:dyDescent="0.25"/>
  <cols>
    <col min="1" max="1" width="19.7109375" customWidth="1"/>
    <col min="4" max="4" width="10.42578125" customWidth="1"/>
    <col min="6" max="7" width="10.140625" bestFit="1" customWidth="1"/>
    <col min="8" max="8" width="10.7109375" customWidth="1"/>
    <col min="9" max="16" width="10.140625" bestFit="1" customWidth="1"/>
  </cols>
  <sheetData>
    <row r="3" spans="3:9" x14ac:dyDescent="0.25">
      <c r="C3" s="2" t="s">
        <v>0</v>
      </c>
      <c r="D3" s="3" t="s">
        <v>24</v>
      </c>
      <c r="H3" s="1" t="s">
        <v>25</v>
      </c>
    </row>
    <row r="4" spans="3:9" x14ac:dyDescent="0.25">
      <c r="C4" s="1" t="s">
        <v>1</v>
      </c>
      <c r="D4">
        <v>45</v>
      </c>
      <c r="E4" s="7">
        <v>0.05</v>
      </c>
      <c r="F4">
        <f>D4*E4</f>
        <v>2.25</v>
      </c>
      <c r="H4">
        <v>5200</v>
      </c>
      <c r="I4">
        <f>H4*E4</f>
        <v>260</v>
      </c>
    </row>
    <row r="5" spans="3:9" x14ac:dyDescent="0.25">
      <c r="C5" s="1" t="s">
        <v>2</v>
      </c>
      <c r="D5">
        <v>35</v>
      </c>
      <c r="E5" s="8">
        <v>0.2</v>
      </c>
      <c r="F5">
        <f t="shared" ref="F5:F7" si="0">D5*E5</f>
        <v>7</v>
      </c>
      <c r="H5">
        <v>4400</v>
      </c>
      <c r="I5">
        <f t="shared" ref="I5:I7" si="1">H5*E5</f>
        <v>880</v>
      </c>
    </row>
    <row r="6" spans="3:9" x14ac:dyDescent="0.25">
      <c r="C6" s="1" t="s">
        <v>4</v>
      </c>
      <c r="D6">
        <v>27</v>
      </c>
      <c r="E6" s="8">
        <v>0.45</v>
      </c>
      <c r="F6">
        <f t="shared" si="0"/>
        <v>12.15</v>
      </c>
      <c r="H6">
        <v>3000</v>
      </c>
      <c r="I6">
        <f t="shared" si="1"/>
        <v>1350</v>
      </c>
    </row>
    <row r="7" spans="3:9" x14ac:dyDescent="0.25">
      <c r="C7" s="1" t="s">
        <v>3</v>
      </c>
      <c r="D7">
        <v>22</v>
      </c>
      <c r="E7" s="8">
        <v>0.3</v>
      </c>
      <c r="F7">
        <f t="shared" si="0"/>
        <v>6.6</v>
      </c>
      <c r="H7">
        <v>1200</v>
      </c>
      <c r="I7">
        <f t="shared" si="1"/>
        <v>360</v>
      </c>
    </row>
    <row r="8" spans="3:9" x14ac:dyDescent="0.25">
      <c r="C8" s="1" t="s">
        <v>26</v>
      </c>
      <c r="E8" s="8"/>
      <c r="H8">
        <v>1500</v>
      </c>
    </row>
    <row r="9" spans="3:9" x14ac:dyDescent="0.25">
      <c r="C9" s="1"/>
      <c r="E9" s="6"/>
    </row>
    <row r="10" spans="3:9" x14ac:dyDescent="0.25">
      <c r="C10" s="1" t="s">
        <v>23</v>
      </c>
      <c r="D10">
        <f>SUM(F4:F7)</f>
        <v>28</v>
      </c>
    </row>
    <row r="11" spans="3:9" x14ac:dyDescent="0.25">
      <c r="C11" s="1" t="s">
        <v>27</v>
      </c>
      <c r="D11" s="8">
        <v>20.9166666666666</v>
      </c>
    </row>
    <row r="12" spans="3:9" x14ac:dyDescent="0.25">
      <c r="C12" s="1" t="s">
        <v>25</v>
      </c>
      <c r="D12">
        <f>SUM(I4:I7)</f>
        <v>2850</v>
      </c>
    </row>
    <row r="13" spans="3:9" x14ac:dyDescent="0.25">
      <c r="C13" s="1" t="s">
        <v>18</v>
      </c>
      <c r="D13">
        <v>7</v>
      </c>
    </row>
    <row r="14" spans="3:9" x14ac:dyDescent="0.25">
      <c r="C14" s="1" t="s">
        <v>20</v>
      </c>
      <c r="D14" s="8">
        <v>0.15</v>
      </c>
    </row>
    <row r="15" spans="3:9" x14ac:dyDescent="0.25">
      <c r="C15" s="1" t="s">
        <v>22</v>
      </c>
      <c r="D15" s="8">
        <v>25</v>
      </c>
    </row>
    <row r="16" spans="3:9" x14ac:dyDescent="0.25">
      <c r="C16" s="1" t="s">
        <v>19</v>
      </c>
      <c r="D16" s="8">
        <v>1.2</v>
      </c>
      <c r="E16">
        <f>D16^(1/12)</f>
        <v>1.0153094704997312</v>
      </c>
    </row>
    <row r="17" spans="3:17" x14ac:dyDescent="0.25">
      <c r="C17" s="1" t="s">
        <v>21</v>
      </c>
      <c r="D17" s="10">
        <v>1000</v>
      </c>
    </row>
    <row r="18" spans="3:17" x14ac:dyDescent="0.25">
      <c r="C18" s="1" t="s">
        <v>29</v>
      </c>
      <c r="D18" s="10">
        <f>(1+D14)*D17*D16</f>
        <v>1380</v>
      </c>
    </row>
    <row r="19" spans="3:17" x14ac:dyDescent="0.25">
      <c r="C19" s="1" t="s">
        <v>30</v>
      </c>
      <c r="D19" s="10">
        <v>100</v>
      </c>
    </row>
    <row r="20" spans="3:17" x14ac:dyDescent="0.25">
      <c r="C20" s="1" t="s">
        <v>36</v>
      </c>
      <c r="D20" s="8">
        <v>0.1</v>
      </c>
    </row>
    <row r="21" spans="3:17" x14ac:dyDescent="0.25">
      <c r="C21" s="1" t="s">
        <v>37</v>
      </c>
      <c r="D21" s="8">
        <v>300</v>
      </c>
      <c r="E21">
        <f>($D$20+1)^(1/12)-1</f>
        <v>7.9741404289037643E-3</v>
      </c>
    </row>
    <row r="22" spans="3:17" x14ac:dyDescent="0.25">
      <c r="C22" s="1" t="s">
        <v>62</v>
      </c>
      <c r="D22" s="5">
        <v>5.5E-2</v>
      </c>
    </row>
    <row r="23" spans="3:17" x14ac:dyDescent="0.25">
      <c r="C23" s="1" t="s">
        <v>60</v>
      </c>
      <c r="D23" s="5">
        <v>0.6</v>
      </c>
    </row>
    <row r="24" spans="3:17" x14ac:dyDescent="0.25">
      <c r="C24" s="1" t="s">
        <v>39</v>
      </c>
      <c r="D24" s="15">
        <v>0.04</v>
      </c>
    </row>
    <row r="25" spans="3:17" x14ac:dyDescent="0.25">
      <c r="C25" s="20" t="s">
        <v>49</v>
      </c>
      <c r="D25" s="19">
        <v>0.01</v>
      </c>
      <c r="G25" s="15"/>
    </row>
    <row r="26" spans="3:17" x14ac:dyDescent="0.25">
      <c r="G26" s="23">
        <f>P69+D25</f>
        <v>0.21233333403781918</v>
      </c>
      <c r="H26" s="15"/>
    </row>
    <row r="27" spans="3:17" x14ac:dyDescent="0.25">
      <c r="D27" s="4"/>
    </row>
    <row r="28" spans="3:17" x14ac:dyDescent="0.25">
      <c r="D28" s="4"/>
    </row>
    <row r="29" spans="3:17" x14ac:dyDescent="0.25">
      <c r="C29" s="2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13</v>
      </c>
      <c r="L29" s="3" t="s">
        <v>14</v>
      </c>
      <c r="M29" s="3" t="s">
        <v>15</v>
      </c>
      <c r="N29" s="3" t="s">
        <v>16</v>
      </c>
      <c r="O29" s="3" t="s">
        <v>17</v>
      </c>
      <c r="P29" s="3" t="s">
        <v>47</v>
      </c>
    </row>
    <row r="30" spans="3:17" x14ac:dyDescent="0.25">
      <c r="C30" s="20" t="s">
        <v>49</v>
      </c>
      <c r="D30" s="19">
        <f t="shared" ref="D30:O30" si="2">$D$25</f>
        <v>0.01</v>
      </c>
      <c r="E30" s="19">
        <f t="shared" si="2"/>
        <v>0.01</v>
      </c>
      <c r="F30" s="19">
        <f t="shared" si="2"/>
        <v>0.01</v>
      </c>
      <c r="G30" s="19">
        <f t="shared" si="2"/>
        <v>0.01</v>
      </c>
      <c r="H30" s="19">
        <f t="shared" si="2"/>
        <v>0.01</v>
      </c>
      <c r="I30" s="19">
        <f t="shared" si="2"/>
        <v>0.01</v>
      </c>
      <c r="J30" s="19">
        <f t="shared" si="2"/>
        <v>0.01</v>
      </c>
      <c r="K30" s="19">
        <f t="shared" si="2"/>
        <v>0.01</v>
      </c>
      <c r="L30" s="19">
        <f t="shared" si="2"/>
        <v>0.01</v>
      </c>
      <c r="M30" s="19">
        <f t="shared" si="2"/>
        <v>0.01</v>
      </c>
      <c r="N30" s="19">
        <f t="shared" si="2"/>
        <v>0.01</v>
      </c>
      <c r="O30" s="19">
        <f t="shared" si="2"/>
        <v>0.01</v>
      </c>
      <c r="P30" s="5">
        <f t="shared" ref="P30:P32" si="3">AVERAGE(D30:O30)</f>
        <v>9.9999999999999985E-3</v>
      </c>
    </row>
    <row r="31" spans="3:17" x14ac:dyDescent="0.25">
      <c r="C31" s="1" t="s">
        <v>48</v>
      </c>
      <c r="D31" s="19">
        <v>8.3799999999999986E-2</v>
      </c>
      <c r="E31" s="19">
        <v>3.3799999999999941E-2</v>
      </c>
      <c r="F31" s="19">
        <v>3.3799999999999941E-2</v>
      </c>
      <c r="G31" s="19">
        <v>6.3799999999999968E-2</v>
      </c>
      <c r="H31" s="19">
        <v>8.3799999999999986E-2</v>
      </c>
      <c r="I31" s="19">
        <v>8.3799999999999986E-2</v>
      </c>
      <c r="J31" s="19">
        <v>9.3799999999999994E-2</v>
      </c>
      <c r="K31" s="19">
        <v>8.3799999999999986E-2</v>
      </c>
      <c r="L31" s="19">
        <v>3.3799999999999941E-2</v>
      </c>
      <c r="M31" s="19">
        <v>3.3799999999999941E-2</v>
      </c>
      <c r="N31" s="19">
        <v>3.3799999999999941E-2</v>
      </c>
      <c r="O31" s="19">
        <v>8.3799999999999986E-2</v>
      </c>
      <c r="P31" s="5">
        <f t="shared" si="3"/>
        <v>6.2133333333333297E-2</v>
      </c>
      <c r="Q31" s="16"/>
    </row>
    <row r="32" spans="3:17" x14ac:dyDescent="0.25">
      <c r="C32" s="1" t="s">
        <v>39</v>
      </c>
      <c r="D32" s="19">
        <f t="shared" ref="D32:O32" si="4">$D$24</f>
        <v>0.04</v>
      </c>
      <c r="E32" s="19">
        <f t="shared" si="4"/>
        <v>0.04</v>
      </c>
      <c r="F32" s="19">
        <f t="shared" si="4"/>
        <v>0.04</v>
      </c>
      <c r="G32" s="19">
        <f t="shared" si="4"/>
        <v>0.04</v>
      </c>
      <c r="H32" s="19">
        <f t="shared" si="4"/>
        <v>0.04</v>
      </c>
      <c r="I32" s="19">
        <f t="shared" si="4"/>
        <v>0.04</v>
      </c>
      <c r="J32" s="19">
        <f t="shared" si="4"/>
        <v>0.04</v>
      </c>
      <c r="K32" s="19">
        <f t="shared" si="4"/>
        <v>0.04</v>
      </c>
      <c r="L32" s="19">
        <f t="shared" si="4"/>
        <v>0.04</v>
      </c>
      <c r="M32" s="19">
        <f t="shared" si="4"/>
        <v>0.04</v>
      </c>
      <c r="N32" s="19">
        <f t="shared" si="4"/>
        <v>0.04</v>
      </c>
      <c r="O32" s="19">
        <f t="shared" si="4"/>
        <v>0.04</v>
      </c>
      <c r="P32" s="5">
        <f t="shared" si="3"/>
        <v>3.9999999999999994E-2</v>
      </c>
    </row>
    <row r="33" spans="3:16" x14ac:dyDescent="0.25">
      <c r="C33" s="2" t="s">
        <v>56</v>
      </c>
      <c r="D33" s="17">
        <f>1-D30-D31-D32</f>
        <v>0.86619999999999997</v>
      </c>
      <c r="E33" s="17">
        <f t="shared" ref="E33:O33" si="5">1-E30-E31-E32</f>
        <v>0.91620000000000001</v>
      </c>
      <c r="F33" s="17">
        <f t="shared" si="5"/>
        <v>0.91620000000000001</v>
      </c>
      <c r="G33" s="17">
        <f t="shared" si="5"/>
        <v>0.88619999999999999</v>
      </c>
      <c r="H33" s="17">
        <f t="shared" si="5"/>
        <v>0.86619999999999997</v>
      </c>
      <c r="I33" s="17">
        <f t="shared" si="5"/>
        <v>0.86619999999999997</v>
      </c>
      <c r="J33" s="17">
        <f t="shared" si="5"/>
        <v>0.85619999999999996</v>
      </c>
      <c r="K33" s="17">
        <f t="shared" si="5"/>
        <v>0.86619999999999997</v>
      </c>
      <c r="L33" s="17">
        <f t="shared" si="5"/>
        <v>0.91620000000000001</v>
      </c>
      <c r="M33" s="17">
        <f t="shared" si="5"/>
        <v>0.91620000000000001</v>
      </c>
      <c r="N33" s="17">
        <f t="shared" si="5"/>
        <v>0.91620000000000001</v>
      </c>
      <c r="O33" s="17">
        <f t="shared" si="5"/>
        <v>0.86619999999999997</v>
      </c>
      <c r="P33" s="17">
        <f>AVERAGE(D33:O33)</f>
        <v>0.88786666666666658</v>
      </c>
    </row>
    <row r="34" spans="3:16" x14ac:dyDescent="0.25"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3:16" x14ac:dyDescent="0.25">
      <c r="C35" s="1" t="s">
        <v>23</v>
      </c>
      <c r="D35" s="11">
        <f>$D$10</f>
        <v>28</v>
      </c>
      <c r="E35" s="11">
        <f t="shared" ref="E35:O35" si="6">$D$10</f>
        <v>28</v>
      </c>
      <c r="F35" s="11">
        <f t="shared" si="6"/>
        <v>28</v>
      </c>
      <c r="G35" s="11">
        <f t="shared" si="6"/>
        <v>28</v>
      </c>
      <c r="H35" s="11">
        <f t="shared" si="6"/>
        <v>28</v>
      </c>
      <c r="I35" s="11">
        <f t="shared" si="6"/>
        <v>28</v>
      </c>
      <c r="J35" s="11">
        <f t="shared" si="6"/>
        <v>28</v>
      </c>
      <c r="K35" s="11">
        <f t="shared" si="6"/>
        <v>28</v>
      </c>
      <c r="L35" s="11">
        <f t="shared" si="6"/>
        <v>28</v>
      </c>
      <c r="M35" s="11">
        <f t="shared" si="6"/>
        <v>28</v>
      </c>
      <c r="N35" s="11">
        <f t="shared" si="6"/>
        <v>28</v>
      </c>
      <c r="O35" s="11">
        <f t="shared" si="6"/>
        <v>28</v>
      </c>
      <c r="P35" s="8"/>
    </row>
    <row r="36" spans="3:16" x14ac:dyDescent="0.25">
      <c r="C36" s="1" t="s">
        <v>50</v>
      </c>
      <c r="D36" s="8">
        <f>$E$16</f>
        <v>1.0153094704997312</v>
      </c>
      <c r="E36" s="8">
        <f t="shared" ref="E36:O36" si="7">$E$16</f>
        <v>1.0153094704997312</v>
      </c>
      <c r="F36" s="8">
        <f t="shared" si="7"/>
        <v>1.0153094704997312</v>
      </c>
      <c r="G36" s="8">
        <f t="shared" si="7"/>
        <v>1.0153094704997312</v>
      </c>
      <c r="H36" s="8">
        <f t="shared" si="7"/>
        <v>1.0153094704997312</v>
      </c>
      <c r="I36" s="8">
        <f t="shared" si="7"/>
        <v>1.0153094704997312</v>
      </c>
      <c r="J36" s="8">
        <f t="shared" si="7"/>
        <v>1.0153094704997312</v>
      </c>
      <c r="K36" s="8">
        <f t="shared" si="7"/>
        <v>1.0153094704997312</v>
      </c>
      <c r="L36" s="8">
        <f t="shared" si="7"/>
        <v>1.0153094704997312</v>
      </c>
      <c r="M36" s="8">
        <f t="shared" si="7"/>
        <v>1.0153094704997312</v>
      </c>
      <c r="N36" s="8">
        <f t="shared" si="7"/>
        <v>1.0153094704997312</v>
      </c>
      <c r="O36" s="8">
        <f t="shared" si="7"/>
        <v>1.0153094704997312</v>
      </c>
      <c r="P36" s="8">
        <f>PRODUCT(D36:O36)</f>
        <v>1.1999999999999997</v>
      </c>
    </row>
    <row r="37" spans="3:16" x14ac:dyDescent="0.25">
      <c r="C37" s="1" t="s">
        <v>54</v>
      </c>
      <c r="D37" s="10">
        <f>D17+D55</f>
        <v>1015.3094704997312</v>
      </c>
      <c r="E37" s="10">
        <f t="shared" ref="E37:O37" si="8">D37+E55</f>
        <v>1030.8533208864446</v>
      </c>
      <c r="F37" s="10">
        <f t="shared" si="8"/>
        <v>1046.6351393921057</v>
      </c>
      <c r="G37" s="10">
        <f t="shared" si="8"/>
        <v>1062.6585691826112</v>
      </c>
      <c r="H37" s="10">
        <f t="shared" si="8"/>
        <v>1078.9273091987991</v>
      </c>
      <c r="I37" s="10">
        <f t="shared" si="8"/>
        <v>1095.4451150103325</v>
      </c>
      <c r="J37" s="10">
        <f t="shared" si="8"/>
        <v>1112.2157996826579</v>
      </c>
      <c r="K37" s="10">
        <f t="shared" si="8"/>
        <v>1129.2432346572346</v>
      </c>
      <c r="L37" s="10">
        <f t="shared" si="8"/>
        <v>1146.5313506452405</v>
      </c>
      <c r="M37" s="10">
        <f t="shared" si="8"/>
        <v>1164.0841385349609</v>
      </c>
      <c r="N37" s="10">
        <f t="shared" si="8"/>
        <v>1181.9056503130669</v>
      </c>
      <c r="O37" s="10">
        <f t="shared" si="8"/>
        <v>1200.0000000000005</v>
      </c>
    </row>
    <row r="39" spans="3:16" x14ac:dyDescent="0.25">
      <c r="C39" s="2" t="s">
        <v>28</v>
      </c>
      <c r="D39" s="12">
        <f t="shared" ref="D39:O39" si="9">D35*$D$11*8*D33*D37</f>
        <v>4120568.2354678418</v>
      </c>
      <c r="E39" s="12">
        <f t="shared" si="9"/>
        <v>4425146.524617197</v>
      </c>
      <c r="F39" s="12">
        <f t="shared" si="9"/>
        <v>4492893.1747928122</v>
      </c>
      <c r="G39" s="12">
        <f t="shared" si="9"/>
        <v>4412309.7018264392</v>
      </c>
      <c r="H39" s="12">
        <f t="shared" si="9"/>
        <v>4378757.1453215741</v>
      </c>
      <c r="I39" s="12">
        <f t="shared" si="9"/>
        <v>4445793.5986633627</v>
      </c>
      <c r="J39" s="12">
        <f t="shared" si="9"/>
        <v>4461745.327008862</v>
      </c>
      <c r="K39" s="12">
        <f t="shared" si="9"/>
        <v>4582961.0951578245</v>
      </c>
      <c r="L39" s="12">
        <f t="shared" si="9"/>
        <v>4921717.8805900505</v>
      </c>
      <c r="M39" s="12">
        <f t="shared" si="9"/>
        <v>4997066.7752909437</v>
      </c>
      <c r="N39" s="12">
        <f t="shared" si="9"/>
        <v>5073569.2216724474</v>
      </c>
      <c r="O39" s="12">
        <f t="shared" si="9"/>
        <v>4870122.8799999868</v>
      </c>
      <c r="P39" s="12">
        <f>SUM(D39:O39)</f>
        <v>55182651.560409337</v>
      </c>
    </row>
    <row r="40" spans="3:16" x14ac:dyDescent="0.25">
      <c r="C40" s="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2" spans="3:16" x14ac:dyDescent="0.25">
      <c r="C42" s="1" t="s">
        <v>32</v>
      </c>
      <c r="D42" s="13">
        <f>$D$12</f>
        <v>2850</v>
      </c>
      <c r="E42" s="13">
        <f t="shared" ref="E42:O42" si="10">$D$12</f>
        <v>2850</v>
      </c>
      <c r="F42" s="13">
        <f t="shared" si="10"/>
        <v>2850</v>
      </c>
      <c r="G42" s="13">
        <f t="shared" si="10"/>
        <v>2850</v>
      </c>
      <c r="H42" s="13">
        <f t="shared" si="10"/>
        <v>2850</v>
      </c>
      <c r="I42" s="13">
        <f t="shared" si="10"/>
        <v>2850</v>
      </c>
      <c r="J42" s="13">
        <f t="shared" si="10"/>
        <v>2850</v>
      </c>
      <c r="K42" s="13">
        <f t="shared" si="10"/>
        <v>2850</v>
      </c>
      <c r="L42" s="13">
        <f t="shared" si="10"/>
        <v>2850</v>
      </c>
      <c r="M42" s="13">
        <f t="shared" si="10"/>
        <v>2850</v>
      </c>
      <c r="N42" s="13">
        <f t="shared" si="10"/>
        <v>2850</v>
      </c>
      <c r="O42" s="13">
        <f t="shared" si="10"/>
        <v>2850</v>
      </c>
    </row>
    <row r="43" spans="3:16" x14ac:dyDescent="0.25">
      <c r="C43" s="1" t="s">
        <v>31</v>
      </c>
      <c r="D43" s="13">
        <f t="shared" ref="D43:O43" si="11">D37*D42</f>
        <v>2893631.990924234</v>
      </c>
      <c r="E43" s="13">
        <f t="shared" si="11"/>
        <v>2937931.9645263674</v>
      </c>
      <c r="F43" s="13">
        <f t="shared" si="11"/>
        <v>2982910.1472675013</v>
      </c>
      <c r="G43" s="13">
        <f t="shared" si="11"/>
        <v>3028576.9221704421</v>
      </c>
      <c r="H43" s="13">
        <f t="shared" si="11"/>
        <v>3074942.8312165774</v>
      </c>
      <c r="I43" s="13">
        <f t="shared" si="11"/>
        <v>3122018.5777794477</v>
      </c>
      <c r="J43" s="13">
        <f t="shared" si="11"/>
        <v>3169815.0290955752</v>
      </c>
      <c r="K43" s="13">
        <f t="shared" si="11"/>
        <v>3218343.2187731187</v>
      </c>
      <c r="L43" s="13">
        <f t="shared" si="11"/>
        <v>3267614.3493389357</v>
      </c>
      <c r="M43" s="13">
        <f t="shared" si="11"/>
        <v>3317639.7948246384</v>
      </c>
      <c r="N43" s="13">
        <f t="shared" si="11"/>
        <v>3368431.1033922406</v>
      </c>
      <c r="O43" s="13">
        <f t="shared" si="11"/>
        <v>3420000.0000000014</v>
      </c>
      <c r="P43" s="14">
        <f>SUM(D43:O43)</f>
        <v>37801855.929309078</v>
      </c>
    </row>
    <row r="44" spans="3:16" x14ac:dyDescent="0.25">
      <c r="C44" s="1" t="s">
        <v>38</v>
      </c>
      <c r="D44" s="10">
        <f t="shared" ref="D44:O44" si="12">D37*D32</f>
        <v>40.612378819989253</v>
      </c>
      <c r="E44" s="10">
        <f t="shared" si="12"/>
        <v>41.234132835457785</v>
      </c>
      <c r="F44" s="10">
        <f t="shared" si="12"/>
        <v>41.865405575684228</v>
      </c>
      <c r="G44" s="10">
        <f t="shared" si="12"/>
        <v>42.506342767304453</v>
      </c>
      <c r="H44" s="10">
        <f t="shared" si="12"/>
        <v>43.157092367951968</v>
      </c>
      <c r="I44" s="10">
        <f t="shared" si="12"/>
        <v>43.817804600413304</v>
      </c>
      <c r="J44" s="10">
        <f t="shared" si="12"/>
        <v>44.48863198730632</v>
      </c>
      <c r="K44" s="10">
        <f t="shared" si="12"/>
        <v>45.169729386289383</v>
      </c>
      <c r="L44" s="10">
        <f t="shared" si="12"/>
        <v>45.861254025809622</v>
      </c>
      <c r="M44" s="10">
        <f t="shared" si="12"/>
        <v>46.563365541398433</v>
      </c>
      <c r="N44" s="10">
        <f t="shared" si="12"/>
        <v>47.276226012522677</v>
      </c>
      <c r="O44" s="10">
        <f t="shared" si="12"/>
        <v>48.000000000000021</v>
      </c>
      <c r="P44" s="14"/>
    </row>
    <row r="45" spans="3:16" x14ac:dyDescent="0.25">
      <c r="C45" s="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4"/>
    </row>
    <row r="46" spans="3:16" x14ac:dyDescent="0.25">
      <c r="C46" s="1" t="s">
        <v>34</v>
      </c>
      <c r="D46" s="13">
        <f>$D$19</f>
        <v>100</v>
      </c>
      <c r="E46" s="13">
        <f t="shared" ref="E46:O46" si="13">$D$19</f>
        <v>100</v>
      </c>
      <c r="F46" s="13">
        <f t="shared" si="13"/>
        <v>100</v>
      </c>
      <c r="G46" s="13">
        <f t="shared" si="13"/>
        <v>100</v>
      </c>
      <c r="H46" s="13">
        <f t="shared" si="13"/>
        <v>100</v>
      </c>
      <c r="I46" s="13">
        <f t="shared" si="13"/>
        <v>100</v>
      </c>
      <c r="J46" s="13">
        <f t="shared" si="13"/>
        <v>100</v>
      </c>
      <c r="K46" s="13">
        <f t="shared" si="13"/>
        <v>100</v>
      </c>
      <c r="L46" s="13">
        <f t="shared" si="13"/>
        <v>100</v>
      </c>
      <c r="M46" s="13">
        <f t="shared" si="13"/>
        <v>100</v>
      </c>
      <c r="N46" s="13">
        <f t="shared" si="13"/>
        <v>100</v>
      </c>
      <c r="O46" s="13">
        <f t="shared" si="13"/>
        <v>100</v>
      </c>
    </row>
    <row r="47" spans="3:16" x14ac:dyDescent="0.25">
      <c r="C47" s="1" t="s">
        <v>33</v>
      </c>
      <c r="D47" s="13">
        <f t="shared" ref="D47:O47" si="14">D37*D46</f>
        <v>101530.94704997313</v>
      </c>
      <c r="E47" s="13">
        <f t="shared" si="14"/>
        <v>103085.33208864447</v>
      </c>
      <c r="F47" s="13">
        <f t="shared" si="14"/>
        <v>104663.51393921056</v>
      </c>
      <c r="G47" s="13">
        <f t="shared" si="14"/>
        <v>106265.85691826112</v>
      </c>
      <c r="H47" s="13">
        <f t="shared" si="14"/>
        <v>107892.7309198799</v>
      </c>
      <c r="I47" s="13">
        <f t="shared" si="14"/>
        <v>109544.51150103325</v>
      </c>
      <c r="J47" s="13">
        <f t="shared" si="14"/>
        <v>111221.5799682658</v>
      </c>
      <c r="K47" s="13">
        <f t="shared" si="14"/>
        <v>112924.32346572346</v>
      </c>
      <c r="L47" s="13">
        <f t="shared" si="14"/>
        <v>114653.13506452406</v>
      </c>
      <c r="M47" s="13">
        <f t="shared" si="14"/>
        <v>116408.41385349608</v>
      </c>
      <c r="N47" s="13">
        <f t="shared" si="14"/>
        <v>118190.56503130669</v>
      </c>
      <c r="O47" s="13">
        <f t="shared" si="14"/>
        <v>120000.00000000004</v>
      </c>
      <c r="P47" s="14">
        <f>SUM(D47:O47)</f>
        <v>1326380.9098003183</v>
      </c>
    </row>
    <row r="48" spans="3:16" x14ac:dyDescent="0.25">
      <c r="C48" s="2" t="s">
        <v>35</v>
      </c>
      <c r="D48" s="12">
        <f>D43+D47</f>
        <v>2995162.9379742071</v>
      </c>
      <c r="E48" s="12">
        <f t="shared" ref="E48:O48" si="15">E43+E47</f>
        <v>3041017.296615012</v>
      </c>
      <c r="F48" s="12">
        <f t="shared" si="15"/>
        <v>3087573.661206712</v>
      </c>
      <c r="G48" s="12">
        <f t="shared" si="15"/>
        <v>3134842.779088703</v>
      </c>
      <c r="H48" s="12">
        <f t="shared" si="15"/>
        <v>3182835.5621364573</v>
      </c>
      <c r="I48" s="12">
        <f t="shared" si="15"/>
        <v>3231563.089280481</v>
      </c>
      <c r="J48" s="12">
        <f t="shared" si="15"/>
        <v>3281036.6090638409</v>
      </c>
      <c r="K48" s="12">
        <f t="shared" si="15"/>
        <v>3331267.5422388422</v>
      </c>
      <c r="L48" s="12">
        <f t="shared" si="15"/>
        <v>3382267.4844034598</v>
      </c>
      <c r="M48" s="12">
        <f t="shared" si="15"/>
        <v>3434048.2086781347</v>
      </c>
      <c r="N48" s="12">
        <f t="shared" si="15"/>
        <v>3486621.6684235474</v>
      </c>
      <c r="O48" s="12">
        <f t="shared" si="15"/>
        <v>3540000.0000000014</v>
      </c>
      <c r="P48" s="12">
        <f>SUM(D48:O48)</f>
        <v>39128236.839109398</v>
      </c>
    </row>
    <row r="49" spans="3:16" x14ac:dyDescent="0.25">
      <c r="C49" s="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3:16" x14ac:dyDescent="0.25">
      <c r="C50" s="1" t="s">
        <v>52</v>
      </c>
      <c r="D50" s="13">
        <f>$D$15</f>
        <v>25</v>
      </c>
      <c r="E50" s="13">
        <f t="shared" ref="E50:O50" si="16">$D$15</f>
        <v>25</v>
      </c>
      <c r="F50" s="13">
        <f t="shared" si="16"/>
        <v>25</v>
      </c>
      <c r="G50" s="13">
        <f t="shared" si="16"/>
        <v>25</v>
      </c>
      <c r="H50" s="13">
        <f t="shared" si="16"/>
        <v>25</v>
      </c>
      <c r="I50" s="13">
        <f t="shared" si="16"/>
        <v>25</v>
      </c>
      <c r="J50" s="13">
        <f t="shared" si="16"/>
        <v>25</v>
      </c>
      <c r="K50" s="13">
        <f t="shared" si="16"/>
        <v>25</v>
      </c>
      <c r="L50" s="13">
        <f t="shared" si="16"/>
        <v>25</v>
      </c>
      <c r="M50" s="13">
        <f t="shared" si="16"/>
        <v>25</v>
      </c>
      <c r="N50" s="13">
        <f t="shared" si="16"/>
        <v>25</v>
      </c>
      <c r="O50" s="13">
        <f t="shared" si="16"/>
        <v>25</v>
      </c>
      <c r="P50" s="12"/>
    </row>
    <row r="51" spans="3:16" x14ac:dyDescent="0.25">
      <c r="C51" s="21" t="s">
        <v>53</v>
      </c>
      <c r="D51" s="22">
        <f t="shared" ref="D51:O51" si="17">D37*(1+$D$14)*$D$13</f>
        <v>8173.2412375228359</v>
      </c>
      <c r="E51" s="22">
        <f t="shared" si="17"/>
        <v>8298.3692331358798</v>
      </c>
      <c r="F51" s="22">
        <f t="shared" si="17"/>
        <v>8425.4128721064499</v>
      </c>
      <c r="G51" s="22">
        <f t="shared" si="17"/>
        <v>8554.4014819200202</v>
      </c>
      <c r="H51" s="22">
        <f t="shared" si="17"/>
        <v>8685.3648390503313</v>
      </c>
      <c r="I51" s="22">
        <f t="shared" si="17"/>
        <v>8818.3331758331769</v>
      </c>
      <c r="J51" s="22">
        <f t="shared" si="17"/>
        <v>8953.3371874453951</v>
      </c>
      <c r="K51" s="22">
        <f t="shared" si="17"/>
        <v>9090.4080389907358</v>
      </c>
      <c r="L51" s="22">
        <f t="shared" si="17"/>
        <v>9229.5773726941861</v>
      </c>
      <c r="M51" s="22">
        <f t="shared" si="17"/>
        <v>9370.877315206435</v>
      </c>
      <c r="N51" s="22">
        <f t="shared" si="17"/>
        <v>9514.3404850201878</v>
      </c>
      <c r="O51" s="22">
        <f t="shared" si="17"/>
        <v>9660.0000000000036</v>
      </c>
      <c r="P51" s="12"/>
    </row>
    <row r="52" spans="3:16" x14ac:dyDescent="0.25">
      <c r="C52" s="21" t="s">
        <v>55</v>
      </c>
      <c r="D52" s="13">
        <f>D51*D50</f>
        <v>204331.03093807091</v>
      </c>
      <c r="E52" s="13">
        <f t="shared" ref="E52:O52" si="18">E51*E50</f>
        <v>207459.23082839701</v>
      </c>
      <c r="F52" s="13">
        <f t="shared" si="18"/>
        <v>210635.32180266126</v>
      </c>
      <c r="G52" s="13">
        <f t="shared" si="18"/>
        <v>213860.03704800049</v>
      </c>
      <c r="H52" s="13">
        <f t="shared" si="18"/>
        <v>217134.12097625827</v>
      </c>
      <c r="I52" s="13">
        <f t="shared" si="18"/>
        <v>220458.32939582941</v>
      </c>
      <c r="J52" s="13">
        <f t="shared" si="18"/>
        <v>223833.42968613488</v>
      </c>
      <c r="K52" s="13">
        <f t="shared" si="18"/>
        <v>227260.20097476841</v>
      </c>
      <c r="L52" s="13">
        <f t="shared" si="18"/>
        <v>230739.43431735467</v>
      </c>
      <c r="M52" s="13">
        <f t="shared" si="18"/>
        <v>234271.93288016086</v>
      </c>
      <c r="N52" s="13">
        <f t="shared" si="18"/>
        <v>237858.5121255047</v>
      </c>
      <c r="O52" s="13">
        <f t="shared" si="18"/>
        <v>241500.00000000009</v>
      </c>
      <c r="P52" s="13">
        <f>SUM(D52:O52)</f>
        <v>2669341.5809731409</v>
      </c>
    </row>
    <row r="54" spans="3:16" x14ac:dyDescent="0.25">
      <c r="C54" s="1" t="s">
        <v>51</v>
      </c>
      <c r="D54" s="14">
        <f t="shared" ref="D54:O54" si="19">$D$21</f>
        <v>300</v>
      </c>
      <c r="E54" s="14">
        <f t="shared" si="19"/>
        <v>300</v>
      </c>
      <c r="F54" s="14">
        <f t="shared" si="19"/>
        <v>300</v>
      </c>
      <c r="G54" s="14">
        <f t="shared" si="19"/>
        <v>300</v>
      </c>
      <c r="H54" s="14">
        <f t="shared" si="19"/>
        <v>300</v>
      </c>
      <c r="I54" s="14">
        <f t="shared" si="19"/>
        <v>300</v>
      </c>
      <c r="J54" s="14">
        <f t="shared" si="19"/>
        <v>300</v>
      </c>
      <c r="K54" s="14">
        <f t="shared" si="19"/>
        <v>300</v>
      </c>
      <c r="L54" s="14">
        <f t="shared" si="19"/>
        <v>300</v>
      </c>
      <c r="M54" s="14">
        <f t="shared" si="19"/>
        <v>300</v>
      </c>
      <c r="N54" s="14">
        <f t="shared" si="19"/>
        <v>300</v>
      </c>
      <c r="O54" s="14">
        <f t="shared" si="19"/>
        <v>300</v>
      </c>
    </row>
    <row r="55" spans="3:16" x14ac:dyDescent="0.25">
      <c r="C55" s="1" t="s">
        <v>59</v>
      </c>
      <c r="D55" s="14">
        <f>D17*(D36-1)</f>
        <v>15.309470499731193</v>
      </c>
      <c r="E55" s="14">
        <f t="shared" ref="E55:O55" si="20">D37*(E36-1)</f>
        <v>15.543850386713332</v>
      </c>
      <c r="F55" s="14">
        <f t="shared" si="20"/>
        <v>15.781818505660956</v>
      </c>
      <c r="G55" s="14">
        <f t="shared" si="20"/>
        <v>16.023429790505485</v>
      </c>
      <c r="H55" s="14">
        <f t="shared" si="20"/>
        <v>16.268740016187746</v>
      </c>
      <c r="I55" s="14">
        <f t="shared" si="20"/>
        <v>16.517805811533371</v>
      </c>
      <c r="J55" s="14">
        <f t="shared" si="20"/>
        <v>16.770684672325331</v>
      </c>
      <c r="K55" s="14">
        <f t="shared" si="20"/>
        <v>17.02743497457659</v>
      </c>
      <c r="L55" s="14">
        <f t="shared" si="20"/>
        <v>17.288115988005963</v>
      </c>
      <c r="M55" s="14">
        <f t="shared" si="20"/>
        <v>17.552787889720271</v>
      </c>
      <c r="N55" s="14">
        <f t="shared" si="20"/>
        <v>17.821511778105982</v>
      </c>
      <c r="O55" s="14">
        <f t="shared" si="20"/>
        <v>18.094349686933509</v>
      </c>
    </row>
    <row r="56" spans="3:16" x14ac:dyDescent="0.25">
      <c r="C56" s="1" t="s">
        <v>58</v>
      </c>
      <c r="D56" s="15">
        <f>$E$21</f>
        <v>7.9741404289037643E-3</v>
      </c>
      <c r="E56" s="15">
        <f t="shared" ref="E56:O56" si="21">$E$21</f>
        <v>7.9741404289037643E-3</v>
      </c>
      <c r="F56" s="15">
        <f t="shared" si="21"/>
        <v>7.9741404289037643E-3</v>
      </c>
      <c r="G56" s="15">
        <f t="shared" si="21"/>
        <v>7.9741404289037643E-3</v>
      </c>
      <c r="H56" s="15">
        <f t="shared" si="21"/>
        <v>7.9741404289037643E-3</v>
      </c>
      <c r="I56" s="15">
        <f t="shared" si="21"/>
        <v>7.9741404289037643E-3</v>
      </c>
      <c r="J56" s="15">
        <f t="shared" si="21"/>
        <v>7.9741404289037643E-3</v>
      </c>
      <c r="K56" s="15">
        <f t="shared" si="21"/>
        <v>7.9741404289037643E-3</v>
      </c>
      <c r="L56" s="15">
        <f t="shared" si="21"/>
        <v>7.9741404289037643E-3</v>
      </c>
      <c r="M56" s="15">
        <f t="shared" si="21"/>
        <v>7.9741404289037643E-3</v>
      </c>
      <c r="N56" s="15">
        <f t="shared" si="21"/>
        <v>7.9741404289037643E-3</v>
      </c>
      <c r="O56" s="15">
        <f t="shared" si="21"/>
        <v>7.9741404289037643E-3</v>
      </c>
    </row>
    <row r="57" spans="3:16" x14ac:dyDescent="0.25">
      <c r="C57" s="1" t="s">
        <v>57</v>
      </c>
      <c r="D57" s="9">
        <f t="shared" ref="D57:O57" si="22">D56*D37</f>
        <v>8.0962202965607801</v>
      </c>
      <c r="E57" s="9">
        <f t="shared" si="22"/>
        <v>8.2201691423503025</v>
      </c>
      <c r="F57" s="9">
        <f t="shared" si="22"/>
        <v>8.3460155793379158</v>
      </c>
      <c r="G57" s="9">
        <f t="shared" si="22"/>
        <v>8.4737886586400872</v>
      </c>
      <c r="H57" s="9">
        <f t="shared" si="22"/>
        <v>8.6035178761304962</v>
      </c>
      <c r="I57" s="9">
        <f t="shared" si="22"/>
        <v>8.7352331792490272</v>
      </c>
      <c r="J57" s="9">
        <f t="shared" si="22"/>
        <v>8.8689649739150127</v>
      </c>
      <c r="K57" s="9">
        <f t="shared" si="22"/>
        <v>9.0047441315463139</v>
      </c>
      <c r="L57" s="9">
        <f t="shared" si="22"/>
        <v>9.1426019961858511</v>
      </c>
      <c r="M57" s="9">
        <f t="shared" si="22"/>
        <v>9.2825703917372415</v>
      </c>
      <c r="N57" s="9">
        <f t="shared" si="22"/>
        <v>9.4246816293112214</v>
      </c>
      <c r="O57" s="9">
        <f t="shared" si="22"/>
        <v>9.5689685146845207</v>
      </c>
    </row>
    <row r="58" spans="3:16" x14ac:dyDescent="0.25">
      <c r="C58" s="1" t="s">
        <v>61</v>
      </c>
      <c r="D58" s="8">
        <f t="shared" ref="D58:O58" si="23">$D$23</f>
        <v>0.6</v>
      </c>
      <c r="E58" s="8">
        <f t="shared" si="23"/>
        <v>0.6</v>
      </c>
      <c r="F58" s="8">
        <f t="shared" si="23"/>
        <v>0.6</v>
      </c>
      <c r="G58" s="8">
        <f t="shared" si="23"/>
        <v>0.6</v>
      </c>
      <c r="H58" s="8">
        <f t="shared" si="23"/>
        <v>0.6</v>
      </c>
      <c r="I58" s="8">
        <f t="shared" si="23"/>
        <v>0.6</v>
      </c>
      <c r="J58" s="8">
        <f t="shared" si="23"/>
        <v>0.6</v>
      </c>
      <c r="K58" s="8">
        <f t="shared" si="23"/>
        <v>0.6</v>
      </c>
      <c r="L58" s="8">
        <f t="shared" si="23"/>
        <v>0.6</v>
      </c>
      <c r="M58" s="8">
        <f t="shared" si="23"/>
        <v>0.6</v>
      </c>
      <c r="N58" s="8">
        <f t="shared" si="23"/>
        <v>0.6</v>
      </c>
      <c r="O58" s="8">
        <f t="shared" si="23"/>
        <v>0.6</v>
      </c>
    </row>
    <row r="59" spans="3:16" x14ac:dyDescent="0.25">
      <c r="C59" s="1" t="s">
        <v>42</v>
      </c>
      <c r="D59" s="14">
        <f>(D55*D58+D57)*D54</f>
        <v>5184.5707789198495</v>
      </c>
      <c r="E59" s="14">
        <f t="shared" ref="E59:O59" si="24">(E55*E58+E57)*E54</f>
        <v>5263.9438123134905</v>
      </c>
      <c r="F59" s="14">
        <f t="shared" si="24"/>
        <v>5344.5320048203466</v>
      </c>
      <c r="G59" s="14">
        <f t="shared" si="24"/>
        <v>5426.353959883013</v>
      </c>
      <c r="H59" s="14">
        <f t="shared" si="24"/>
        <v>5509.4285657529435</v>
      </c>
      <c r="I59" s="14">
        <f t="shared" si="24"/>
        <v>5593.7749998507152</v>
      </c>
      <c r="J59" s="14">
        <f t="shared" si="24"/>
        <v>5679.4127331930622</v>
      </c>
      <c r="K59" s="14">
        <f t="shared" si="24"/>
        <v>5766.3615348876801</v>
      </c>
      <c r="L59" s="14">
        <f t="shared" si="24"/>
        <v>5854.6414766968282</v>
      </c>
      <c r="M59" s="14">
        <f t="shared" si="24"/>
        <v>5944.2729376708212</v>
      </c>
      <c r="N59" s="14">
        <f t="shared" si="24"/>
        <v>6035.2766088524431</v>
      </c>
      <c r="O59" s="14">
        <f t="shared" si="24"/>
        <v>6127.6734980533874</v>
      </c>
      <c r="P59" s="14">
        <f>SUM(D59:O59)</f>
        <v>67730.242910894594</v>
      </c>
    </row>
    <row r="60" spans="3:16" x14ac:dyDescent="0.25">
      <c r="C60" s="1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3:16" x14ac:dyDescent="0.25">
      <c r="C61" s="1" t="s">
        <v>40</v>
      </c>
      <c r="D61" s="16">
        <f t="shared" ref="D61:O61" si="25">$D$22</f>
        <v>5.5E-2</v>
      </c>
      <c r="E61" s="16">
        <f t="shared" si="25"/>
        <v>5.5E-2</v>
      </c>
      <c r="F61" s="16">
        <f t="shared" si="25"/>
        <v>5.5E-2</v>
      </c>
      <c r="G61" s="16">
        <f t="shared" si="25"/>
        <v>5.5E-2</v>
      </c>
      <c r="H61" s="16">
        <f t="shared" si="25"/>
        <v>5.5E-2</v>
      </c>
      <c r="I61" s="16">
        <f t="shared" si="25"/>
        <v>5.5E-2</v>
      </c>
      <c r="J61" s="16">
        <f t="shared" si="25"/>
        <v>5.5E-2</v>
      </c>
      <c r="K61" s="16">
        <f t="shared" si="25"/>
        <v>5.5E-2</v>
      </c>
      <c r="L61" s="16">
        <f t="shared" si="25"/>
        <v>5.5E-2</v>
      </c>
      <c r="M61" s="16">
        <f t="shared" si="25"/>
        <v>5.5E-2</v>
      </c>
      <c r="N61" s="16">
        <f t="shared" si="25"/>
        <v>5.5E-2</v>
      </c>
      <c r="O61" s="16">
        <f t="shared" si="25"/>
        <v>5.5E-2</v>
      </c>
    </row>
    <row r="62" spans="3:16" x14ac:dyDescent="0.25">
      <c r="C62" s="1" t="s">
        <v>41</v>
      </c>
      <c r="D62" s="14">
        <f t="shared" ref="D62:O62" si="26">D61*D48</f>
        <v>164733.96158858138</v>
      </c>
      <c r="E62" s="14">
        <f t="shared" si="26"/>
        <v>167255.95131382567</v>
      </c>
      <c r="F62" s="14">
        <f t="shared" si="26"/>
        <v>169816.55136636915</v>
      </c>
      <c r="G62" s="14">
        <f t="shared" si="26"/>
        <v>172416.35284987866</v>
      </c>
      <c r="H62" s="14">
        <f t="shared" si="26"/>
        <v>175055.95591750514</v>
      </c>
      <c r="I62" s="14">
        <f t="shared" si="26"/>
        <v>177735.96991042644</v>
      </c>
      <c r="J62" s="14">
        <f t="shared" si="26"/>
        <v>180457.01349851125</v>
      </c>
      <c r="K62" s="14">
        <f t="shared" si="26"/>
        <v>183219.71482313631</v>
      </c>
      <c r="L62" s="14">
        <f t="shared" si="26"/>
        <v>186024.71164219029</v>
      </c>
      <c r="M62" s="14">
        <f t="shared" si="26"/>
        <v>188872.65147729742</v>
      </c>
      <c r="N62" s="14">
        <f t="shared" si="26"/>
        <v>191764.19176329512</v>
      </c>
      <c r="O62" s="14">
        <f t="shared" si="26"/>
        <v>194700.00000000009</v>
      </c>
      <c r="P62" s="14">
        <f>SUM(D62:O62)</f>
        <v>2152053.0261510173</v>
      </c>
    </row>
    <row r="63" spans="3:16" x14ac:dyDescent="0.25">
      <c r="C63" s="1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3:16" ht="14.25" customHeight="1" x14ac:dyDescent="0.25">
      <c r="C64" s="2" t="s">
        <v>43</v>
      </c>
      <c r="D64" s="12">
        <f t="shared" ref="D64:O64" si="27">D62+D59+D52</f>
        <v>374249.56330557214</v>
      </c>
      <c r="E64" s="12">
        <f t="shared" si="27"/>
        <v>379979.12595453614</v>
      </c>
      <c r="F64" s="12">
        <f t="shared" si="27"/>
        <v>385796.40517385077</v>
      </c>
      <c r="G64" s="12">
        <f t="shared" si="27"/>
        <v>391702.74385776219</v>
      </c>
      <c r="H64" s="12">
        <f t="shared" si="27"/>
        <v>397699.50545951637</v>
      </c>
      <c r="I64" s="12">
        <f t="shared" si="27"/>
        <v>403788.07430610654</v>
      </c>
      <c r="J64" s="12">
        <f t="shared" si="27"/>
        <v>409969.85591783922</v>
      </c>
      <c r="K64" s="12">
        <f t="shared" si="27"/>
        <v>416246.27733279241</v>
      </c>
      <c r="L64" s="12">
        <f t="shared" si="27"/>
        <v>422618.78743624175</v>
      </c>
      <c r="M64" s="12">
        <f t="shared" si="27"/>
        <v>429088.8572951291</v>
      </c>
      <c r="N64" s="12">
        <f t="shared" si="27"/>
        <v>435657.98049765226</v>
      </c>
      <c r="O64" s="12">
        <f t="shared" si="27"/>
        <v>442327.67349805357</v>
      </c>
      <c r="P64" s="12">
        <f>SUM(D64:O64)</f>
        <v>4889124.8500350527</v>
      </c>
    </row>
    <row r="65" spans="3:16" x14ac:dyDescent="0.25">
      <c r="C65" s="1" t="s">
        <v>44</v>
      </c>
      <c r="D65" s="14">
        <f t="shared" ref="D65:O65" si="28">D64/D37</f>
        <v>368.60639458171113</v>
      </c>
      <c r="E65" s="14">
        <f t="shared" si="28"/>
        <v>368.60639458171119</v>
      </c>
      <c r="F65" s="14">
        <f t="shared" si="28"/>
        <v>368.60639458171119</v>
      </c>
      <c r="G65" s="14">
        <f t="shared" si="28"/>
        <v>368.60639458171113</v>
      </c>
      <c r="H65" s="14">
        <f t="shared" si="28"/>
        <v>368.60639458171113</v>
      </c>
      <c r="I65" s="14">
        <f t="shared" si="28"/>
        <v>368.60639458171113</v>
      </c>
      <c r="J65" s="14">
        <f t="shared" si="28"/>
        <v>368.60639458171113</v>
      </c>
      <c r="K65" s="14">
        <f t="shared" si="28"/>
        <v>368.60639458171113</v>
      </c>
      <c r="L65" s="14">
        <f t="shared" si="28"/>
        <v>368.60639458171113</v>
      </c>
      <c r="M65" s="14">
        <f t="shared" si="28"/>
        <v>368.60639458171119</v>
      </c>
      <c r="N65" s="14">
        <f t="shared" si="28"/>
        <v>368.60639458171119</v>
      </c>
      <c r="O65" s="14">
        <f t="shared" si="28"/>
        <v>368.60639458171119</v>
      </c>
    </row>
    <row r="67" spans="3:16" x14ac:dyDescent="0.25">
      <c r="C67" s="2" t="s">
        <v>46</v>
      </c>
      <c r="D67" s="12">
        <f t="shared" ref="D67:P67" si="29">D39-D48-D64</f>
        <v>751155.7341880626</v>
      </c>
      <c r="E67" s="12">
        <f t="shared" si="29"/>
        <v>1004150.1020476489</v>
      </c>
      <c r="F67" s="12">
        <f t="shared" si="29"/>
        <v>1019523.1084122495</v>
      </c>
      <c r="G67" s="12">
        <f t="shared" si="29"/>
        <v>885764.17887997406</v>
      </c>
      <c r="H67" s="12">
        <f t="shared" si="29"/>
        <v>798222.07772560045</v>
      </c>
      <c r="I67" s="12">
        <f t="shared" si="29"/>
        <v>810442.43507677515</v>
      </c>
      <c r="J67" s="12">
        <f t="shared" si="29"/>
        <v>770738.86202718189</v>
      </c>
      <c r="K67" s="12">
        <f t="shared" si="29"/>
        <v>835447.27558618982</v>
      </c>
      <c r="L67" s="12">
        <f t="shared" si="29"/>
        <v>1116831.6087503489</v>
      </c>
      <c r="M67" s="12">
        <f t="shared" si="29"/>
        <v>1133929.70931768</v>
      </c>
      <c r="N67" s="12">
        <f t="shared" si="29"/>
        <v>1151289.5727512478</v>
      </c>
      <c r="O67" s="12">
        <f t="shared" si="29"/>
        <v>887795.20650193188</v>
      </c>
      <c r="P67" s="12">
        <f t="shared" si="29"/>
        <v>11165289.871264886</v>
      </c>
    </row>
    <row r="68" spans="3:16" x14ac:dyDescent="0.25">
      <c r="C68" s="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3:16" x14ac:dyDescent="0.25">
      <c r="C69" s="2" t="s">
        <v>45</v>
      </c>
      <c r="D69" s="18">
        <f t="shared" ref="D69:P69" si="30">D67/D39</f>
        <v>0.18229421071649302</v>
      </c>
      <c r="E69" s="18">
        <f t="shared" si="30"/>
        <v>0.22691906278391857</v>
      </c>
      <c r="F69" s="18">
        <f t="shared" si="30"/>
        <v>0.2269190627839186</v>
      </c>
      <c r="G69" s="18">
        <f t="shared" si="30"/>
        <v>0.20074841494315762</v>
      </c>
      <c r="H69" s="18">
        <f t="shared" si="30"/>
        <v>0.18229421071649302</v>
      </c>
      <c r="I69" s="18">
        <f t="shared" si="30"/>
        <v>0.1822942107164931</v>
      </c>
      <c r="J69" s="18">
        <f t="shared" si="30"/>
        <v>0.17274380439456469</v>
      </c>
      <c r="K69" s="18">
        <f t="shared" si="30"/>
        <v>0.18229421071649296</v>
      </c>
      <c r="L69" s="18">
        <f t="shared" si="30"/>
        <v>0.22691906278391868</v>
      </c>
      <c r="M69" s="18">
        <f t="shared" si="30"/>
        <v>0.22691906278391874</v>
      </c>
      <c r="N69" s="18">
        <f t="shared" si="30"/>
        <v>0.22691906278391874</v>
      </c>
      <c r="O69" s="18">
        <f t="shared" si="30"/>
        <v>0.1822942107164931</v>
      </c>
      <c r="P69" s="18">
        <f t="shared" si="30"/>
        <v>0.20233333403781917</v>
      </c>
    </row>
    <row r="70" spans="3:16" x14ac:dyDescent="0.25">
      <c r="C70" s="1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3:16" x14ac:dyDescent="0.25">
      <c r="C71" s="2"/>
    </row>
    <row r="72" spans="3:16" x14ac:dyDescent="0.25">
      <c r="C72" s="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3:16" x14ac:dyDescent="0.25">
      <c r="C73" s="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3:16" x14ac:dyDescent="0.25">
      <c r="C74" s="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3:16" x14ac:dyDescent="0.25">
      <c r="C75" s="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3:16" x14ac:dyDescent="0.25">
      <c r="C76" s="2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A980-115E-4535-A52D-5BC7DA7B27F8}">
  <dimension ref="C3:R75"/>
  <sheetViews>
    <sheetView topLeftCell="A19" zoomScale="85" zoomScaleNormal="85" workbookViewId="0">
      <selection activeCell="G40" sqref="G40:Q40"/>
    </sheetView>
  </sheetViews>
  <sheetFormatPr defaultRowHeight="15" x14ac:dyDescent="0.25"/>
  <cols>
    <col min="1" max="1" width="19.7109375" customWidth="1"/>
    <col min="4" max="4" width="10.42578125" customWidth="1"/>
    <col min="6" max="7" width="10.140625" bestFit="1" customWidth="1"/>
    <col min="8" max="8" width="10.7109375" customWidth="1"/>
    <col min="9" max="16" width="10.140625" bestFit="1" customWidth="1"/>
  </cols>
  <sheetData>
    <row r="3" spans="3:9" x14ac:dyDescent="0.25">
      <c r="C3" s="2" t="s">
        <v>0</v>
      </c>
      <c r="D3" s="3" t="s">
        <v>24</v>
      </c>
      <c r="H3" s="1" t="s">
        <v>25</v>
      </c>
    </row>
    <row r="4" spans="3:9" x14ac:dyDescent="0.25">
      <c r="C4" s="1" t="s">
        <v>1</v>
      </c>
      <c r="D4">
        <v>45</v>
      </c>
      <c r="E4" s="7">
        <v>0.05</v>
      </c>
      <c r="F4">
        <f>D4*E4</f>
        <v>2.25</v>
      </c>
      <c r="H4">
        <v>5200</v>
      </c>
      <c r="I4">
        <f>H4*E4</f>
        <v>260</v>
      </c>
    </row>
    <row r="5" spans="3:9" x14ac:dyDescent="0.25">
      <c r="C5" s="1" t="s">
        <v>2</v>
      </c>
      <c r="D5">
        <v>35</v>
      </c>
      <c r="E5" s="8">
        <v>0.2</v>
      </c>
      <c r="F5">
        <f t="shared" ref="F5:F7" si="0">D5*E5</f>
        <v>7</v>
      </c>
      <c r="H5">
        <v>4400</v>
      </c>
      <c r="I5">
        <f t="shared" ref="I5:I7" si="1">H5*E5</f>
        <v>880</v>
      </c>
    </row>
    <row r="6" spans="3:9" x14ac:dyDescent="0.25">
      <c r="C6" s="1" t="s">
        <v>4</v>
      </c>
      <c r="D6">
        <v>27</v>
      </c>
      <c r="E6" s="8">
        <v>0.45</v>
      </c>
      <c r="F6">
        <f t="shared" si="0"/>
        <v>12.15</v>
      </c>
      <c r="H6">
        <v>3000</v>
      </c>
      <c r="I6">
        <f t="shared" si="1"/>
        <v>1350</v>
      </c>
    </row>
    <row r="7" spans="3:9" x14ac:dyDescent="0.25">
      <c r="C7" s="1" t="s">
        <v>3</v>
      </c>
      <c r="D7">
        <v>22</v>
      </c>
      <c r="E7" s="8">
        <v>0.3</v>
      </c>
      <c r="F7">
        <f t="shared" si="0"/>
        <v>6.6</v>
      </c>
      <c r="H7">
        <v>1200</v>
      </c>
      <c r="I7">
        <f t="shared" si="1"/>
        <v>360</v>
      </c>
    </row>
    <row r="8" spans="3:9" x14ac:dyDescent="0.25">
      <c r="C8" s="1" t="s">
        <v>26</v>
      </c>
      <c r="E8" s="8"/>
      <c r="H8">
        <v>1500</v>
      </c>
    </row>
    <row r="9" spans="3:9" x14ac:dyDescent="0.25">
      <c r="C9" s="1"/>
      <c r="E9" s="6"/>
    </row>
    <row r="10" spans="3:9" x14ac:dyDescent="0.25">
      <c r="C10" s="1" t="s">
        <v>23</v>
      </c>
      <c r="D10">
        <f>SUM(F4:F7)</f>
        <v>28</v>
      </c>
    </row>
    <row r="11" spans="3:9" x14ac:dyDescent="0.25">
      <c r="C11" s="1" t="s">
        <v>27</v>
      </c>
      <c r="D11" s="8">
        <v>20.9166666666666</v>
      </c>
    </row>
    <row r="12" spans="3:9" x14ac:dyDescent="0.25">
      <c r="C12" s="1" t="s">
        <v>25</v>
      </c>
      <c r="D12">
        <f>SUM(I4:I7)</f>
        <v>2850</v>
      </c>
    </row>
    <row r="13" spans="3:9" x14ac:dyDescent="0.25">
      <c r="C13" s="1" t="s">
        <v>18</v>
      </c>
      <c r="D13">
        <v>7</v>
      </c>
    </row>
    <row r="14" spans="3:9" x14ac:dyDescent="0.25">
      <c r="C14" s="1" t="s">
        <v>20</v>
      </c>
      <c r="D14" s="8">
        <v>0.15</v>
      </c>
    </row>
    <row r="15" spans="3:9" x14ac:dyDescent="0.25">
      <c r="C15" s="1" t="s">
        <v>22</v>
      </c>
      <c r="D15" s="8">
        <v>25</v>
      </c>
    </row>
    <row r="16" spans="3:9" x14ac:dyDescent="0.25">
      <c r="C16" s="1" t="s">
        <v>19</v>
      </c>
      <c r="D16" s="8">
        <v>1.2</v>
      </c>
      <c r="E16">
        <f>D16^(1/12)</f>
        <v>1.0153094704997312</v>
      </c>
    </row>
    <row r="17" spans="3:17" x14ac:dyDescent="0.25">
      <c r="C17" s="1" t="s">
        <v>21</v>
      </c>
      <c r="D17" s="10">
        <v>1000</v>
      </c>
    </row>
    <row r="18" spans="3:17" x14ac:dyDescent="0.25">
      <c r="C18" s="1" t="s">
        <v>29</v>
      </c>
      <c r="D18" s="10">
        <f>(1+D14)*D17*D16</f>
        <v>1380</v>
      </c>
    </row>
    <row r="19" spans="3:17" x14ac:dyDescent="0.25">
      <c r="C19" s="1" t="s">
        <v>30</v>
      </c>
      <c r="D19" s="10">
        <v>100</v>
      </c>
    </row>
    <row r="20" spans="3:17" x14ac:dyDescent="0.25">
      <c r="C20" s="1" t="s">
        <v>36</v>
      </c>
      <c r="D20" s="8">
        <v>0.1</v>
      </c>
    </row>
    <row r="21" spans="3:17" x14ac:dyDescent="0.25">
      <c r="C21" s="1" t="s">
        <v>37</v>
      </c>
      <c r="D21" s="8">
        <v>300</v>
      </c>
      <c r="E21">
        <f>($D$20+1)^(1/12)-1</f>
        <v>7.9741404289037643E-3</v>
      </c>
    </row>
    <row r="22" spans="3:17" x14ac:dyDescent="0.25">
      <c r="C22" s="1" t="s">
        <v>62</v>
      </c>
      <c r="D22" s="5">
        <v>5.5E-2</v>
      </c>
    </row>
    <row r="23" spans="3:17" x14ac:dyDescent="0.25">
      <c r="C23" s="1" t="s">
        <v>60</v>
      </c>
      <c r="D23" s="5">
        <v>0.6</v>
      </c>
    </row>
    <row r="24" spans="3:17" x14ac:dyDescent="0.25">
      <c r="C24" s="1" t="s">
        <v>39</v>
      </c>
      <c r="D24" s="15">
        <v>0.04</v>
      </c>
    </row>
    <row r="25" spans="3:17" x14ac:dyDescent="0.25">
      <c r="C25" s="20" t="s">
        <v>49</v>
      </c>
      <c r="D25" s="19">
        <v>0.01</v>
      </c>
      <c r="G25" s="15"/>
    </row>
    <row r="26" spans="3:17" x14ac:dyDescent="0.25">
      <c r="G26" s="23">
        <f>P68+D25</f>
        <v>0.20615809856937867</v>
      </c>
      <c r="H26" s="15"/>
    </row>
    <row r="27" spans="3:17" x14ac:dyDescent="0.25">
      <c r="D27" s="4"/>
    </row>
    <row r="28" spans="3:17" x14ac:dyDescent="0.25">
      <c r="D28" s="4"/>
    </row>
    <row r="29" spans="3:17" x14ac:dyDescent="0.25">
      <c r="C29" s="2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13</v>
      </c>
      <c r="L29" s="3" t="s">
        <v>14</v>
      </c>
      <c r="M29" s="3" t="s">
        <v>15</v>
      </c>
      <c r="N29" s="3" t="s">
        <v>16</v>
      </c>
      <c r="O29" s="3" t="s">
        <v>17</v>
      </c>
      <c r="P29" s="3" t="s">
        <v>47</v>
      </c>
    </row>
    <row r="30" spans="3:17" x14ac:dyDescent="0.25">
      <c r="C30" s="20" t="s">
        <v>49</v>
      </c>
      <c r="D30" s="19">
        <f t="shared" ref="D30:O30" si="2">$D$25</f>
        <v>0.01</v>
      </c>
      <c r="E30" s="19">
        <f t="shared" si="2"/>
        <v>0.01</v>
      </c>
      <c r="F30" s="19">
        <f t="shared" si="2"/>
        <v>0.01</v>
      </c>
      <c r="G30" s="19">
        <f t="shared" si="2"/>
        <v>0.01</v>
      </c>
      <c r="H30" s="19">
        <f t="shared" si="2"/>
        <v>0.01</v>
      </c>
      <c r="I30" s="19">
        <f t="shared" si="2"/>
        <v>0.01</v>
      </c>
      <c r="J30" s="19">
        <f t="shared" si="2"/>
        <v>0.01</v>
      </c>
      <c r="K30" s="19">
        <f t="shared" si="2"/>
        <v>0.01</v>
      </c>
      <c r="L30" s="19">
        <f t="shared" si="2"/>
        <v>0.01</v>
      </c>
      <c r="M30" s="19">
        <f t="shared" si="2"/>
        <v>0.01</v>
      </c>
      <c r="N30" s="19">
        <f t="shared" si="2"/>
        <v>0.01</v>
      </c>
      <c r="O30" s="19">
        <f t="shared" si="2"/>
        <v>0.01</v>
      </c>
      <c r="P30" s="5">
        <f t="shared" ref="P30:P32" si="3">AVERAGE(D30:O30)</f>
        <v>9.9999999999999985E-3</v>
      </c>
    </row>
    <row r="31" spans="3:17" x14ac:dyDescent="0.25">
      <c r="C31" s="1" t="s">
        <v>48</v>
      </c>
      <c r="D31" s="19">
        <v>8.3799999999999986E-2</v>
      </c>
      <c r="E31" s="19">
        <v>3.3799999999999941E-2</v>
      </c>
      <c r="F31" s="19">
        <v>3.3799999999999941E-2</v>
      </c>
      <c r="G31" s="25">
        <v>7.0000000000000007E-2</v>
      </c>
      <c r="H31" s="19">
        <v>8.3799999999999986E-2</v>
      </c>
      <c r="I31" s="19">
        <v>8.3799999999999986E-2</v>
      </c>
      <c r="J31" s="19">
        <v>9.3799999999999994E-2</v>
      </c>
      <c r="K31" s="19">
        <v>8.3799999999999986E-2</v>
      </c>
      <c r="L31" s="19">
        <v>3.3799999999999941E-2</v>
      </c>
      <c r="M31" s="19">
        <v>3.3799999999999941E-2</v>
      </c>
      <c r="N31" s="19">
        <v>3.3799999999999941E-2</v>
      </c>
      <c r="O31" s="19">
        <v>8.3799999999999986E-2</v>
      </c>
      <c r="P31" s="5">
        <f t="shared" si="3"/>
        <v>6.264999999999997E-2</v>
      </c>
      <c r="Q31" s="16"/>
    </row>
    <row r="32" spans="3:17" x14ac:dyDescent="0.25">
      <c r="C32" s="1" t="s">
        <v>39</v>
      </c>
      <c r="D32" s="19">
        <f>$D$24</f>
        <v>0.04</v>
      </c>
      <c r="E32" s="19">
        <f>$D$24</f>
        <v>0.04</v>
      </c>
      <c r="F32" s="19">
        <f>$D$24</f>
        <v>0.04</v>
      </c>
      <c r="G32" s="25">
        <v>5.5E-2</v>
      </c>
      <c r="H32" s="25">
        <v>5.5E-2</v>
      </c>
      <c r="I32" s="19">
        <f>$D$24</f>
        <v>0.04</v>
      </c>
      <c r="J32" s="25">
        <v>4.4999999999999998E-2</v>
      </c>
      <c r="K32" s="25">
        <v>4.4999999999999998E-2</v>
      </c>
      <c r="L32" s="25">
        <v>5.5E-2</v>
      </c>
      <c r="M32" s="25">
        <v>5.5E-2</v>
      </c>
      <c r="N32" s="25">
        <v>0.05</v>
      </c>
      <c r="O32" s="25">
        <v>4.4999999999999998E-2</v>
      </c>
      <c r="P32" s="5">
        <f t="shared" si="3"/>
        <v>4.7083333333333331E-2</v>
      </c>
    </row>
    <row r="33" spans="3:18" x14ac:dyDescent="0.25">
      <c r="C33" s="2" t="s">
        <v>56</v>
      </c>
      <c r="D33" s="17">
        <f>1-D30-D31-D32</f>
        <v>0.86619999999999997</v>
      </c>
      <c r="E33" s="17">
        <f t="shared" ref="E33:O33" si="4">1-E30-E31-E32</f>
        <v>0.91620000000000001</v>
      </c>
      <c r="F33" s="17">
        <f t="shared" si="4"/>
        <v>0.91620000000000001</v>
      </c>
      <c r="G33" s="17">
        <f t="shared" si="4"/>
        <v>0.86499999999999988</v>
      </c>
      <c r="H33" s="17">
        <f t="shared" si="4"/>
        <v>0.85119999999999996</v>
      </c>
      <c r="I33" s="17">
        <f t="shared" si="4"/>
        <v>0.86619999999999997</v>
      </c>
      <c r="J33" s="17">
        <f t="shared" si="4"/>
        <v>0.85119999999999996</v>
      </c>
      <c r="K33" s="17">
        <f t="shared" si="4"/>
        <v>0.86119999999999997</v>
      </c>
      <c r="L33" s="17">
        <f t="shared" si="4"/>
        <v>0.9012</v>
      </c>
      <c r="M33" s="17">
        <f t="shared" si="4"/>
        <v>0.9012</v>
      </c>
      <c r="N33" s="17">
        <f t="shared" si="4"/>
        <v>0.90620000000000001</v>
      </c>
      <c r="O33" s="17">
        <f t="shared" si="4"/>
        <v>0.86119999999999997</v>
      </c>
      <c r="P33" s="17">
        <f>AVERAGE(D33:O33)</f>
        <v>0.88026666666666664</v>
      </c>
    </row>
    <row r="34" spans="3:18" x14ac:dyDescent="0.25"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3:18" x14ac:dyDescent="0.25">
      <c r="C35" s="1" t="s">
        <v>23</v>
      </c>
      <c r="D35" s="11">
        <f>$D$10</f>
        <v>28</v>
      </c>
      <c r="E35" s="11">
        <f t="shared" ref="E35:O35" si="5">$D$10</f>
        <v>28</v>
      </c>
      <c r="F35" s="11">
        <f t="shared" si="5"/>
        <v>28</v>
      </c>
      <c r="G35" s="11">
        <f t="shared" si="5"/>
        <v>28</v>
      </c>
      <c r="H35" s="11">
        <f t="shared" si="5"/>
        <v>28</v>
      </c>
      <c r="I35" s="11">
        <f t="shared" si="5"/>
        <v>28</v>
      </c>
      <c r="J35" s="11">
        <f t="shared" si="5"/>
        <v>28</v>
      </c>
      <c r="K35" s="11">
        <f t="shared" si="5"/>
        <v>28</v>
      </c>
      <c r="L35" s="11">
        <f t="shared" si="5"/>
        <v>28</v>
      </c>
      <c r="M35" s="11">
        <f t="shared" si="5"/>
        <v>28</v>
      </c>
      <c r="N35" s="11">
        <f t="shared" si="5"/>
        <v>28</v>
      </c>
      <c r="O35" s="11">
        <f t="shared" si="5"/>
        <v>28</v>
      </c>
      <c r="P35" s="8"/>
      <c r="R35">
        <v>1.0153094704997312</v>
      </c>
    </row>
    <row r="36" spans="3:18" x14ac:dyDescent="0.25">
      <c r="C36" s="1" t="s">
        <v>50</v>
      </c>
      <c r="D36" s="8">
        <f>$E$16</f>
        <v>1.0153094704997312</v>
      </c>
      <c r="E36" s="8">
        <f t="shared" ref="E36:F36" si="6">$E$16</f>
        <v>1.0153094704997312</v>
      </c>
      <c r="F36" s="8">
        <f t="shared" si="6"/>
        <v>1.0153094704997312</v>
      </c>
      <c r="G36" s="24">
        <v>1.002</v>
      </c>
      <c r="H36" s="24">
        <v>1.002</v>
      </c>
      <c r="I36" s="24">
        <v>1.002</v>
      </c>
      <c r="J36" s="24">
        <v>1.002</v>
      </c>
      <c r="K36" s="24">
        <v>1.002</v>
      </c>
      <c r="L36" s="24">
        <v>1.002</v>
      </c>
      <c r="M36" s="24">
        <v>1.002</v>
      </c>
      <c r="N36" s="24">
        <v>1.002</v>
      </c>
      <c r="O36" s="24">
        <v>1.002</v>
      </c>
      <c r="P36" s="8">
        <f>PRODUCT(D36:O36)</f>
        <v>1.065625992814291</v>
      </c>
    </row>
    <row r="37" spans="3:18" x14ac:dyDescent="0.25">
      <c r="C37" s="1" t="s">
        <v>54</v>
      </c>
      <c r="D37" s="10">
        <f>D17+D54</f>
        <v>1015.3094704997312</v>
      </c>
      <c r="E37" s="10">
        <f t="shared" ref="E37:O37" si="7">D37+E54</f>
        <v>1030.8533208864446</v>
      </c>
      <c r="F37" s="10">
        <f t="shared" si="7"/>
        <v>1046.6351393921057</v>
      </c>
      <c r="G37" s="10">
        <f t="shared" si="7"/>
        <v>1048.72840967089</v>
      </c>
      <c r="H37" s="10">
        <f t="shared" si="7"/>
        <v>1050.8258664902316</v>
      </c>
      <c r="I37" s="10">
        <f t="shared" si="7"/>
        <v>1052.927518223212</v>
      </c>
      <c r="J37" s="10">
        <f t="shared" si="7"/>
        <v>1055.0333732596584</v>
      </c>
      <c r="K37" s="10">
        <f t="shared" si="7"/>
        <v>1057.1434400061778</v>
      </c>
      <c r="L37" s="10">
        <f t="shared" si="7"/>
        <v>1059.2577268861901</v>
      </c>
      <c r="M37" s="10">
        <f t="shared" si="7"/>
        <v>1061.3762423399626</v>
      </c>
      <c r="N37" s="10">
        <f t="shared" si="7"/>
        <v>1063.4989948246425</v>
      </c>
      <c r="O37" s="10">
        <f t="shared" si="7"/>
        <v>1065.6259928142917</v>
      </c>
    </row>
    <row r="39" spans="3:18" x14ac:dyDescent="0.25">
      <c r="C39" s="2" t="s">
        <v>28</v>
      </c>
      <c r="D39" s="12">
        <f t="shared" ref="D39:O39" si="8">D35*$D$11*8*D33*D37</f>
        <v>4120568.2354678418</v>
      </c>
      <c r="E39" s="12">
        <f t="shared" si="8"/>
        <v>4425146.524617197</v>
      </c>
      <c r="F39" s="12">
        <f t="shared" si="8"/>
        <v>4492893.1747928122</v>
      </c>
      <c r="G39" s="12">
        <f t="shared" si="8"/>
        <v>4250300.4817596311</v>
      </c>
      <c r="H39" s="12">
        <f t="shared" si="8"/>
        <v>4190857.2041779715</v>
      </c>
      <c r="I39" s="12">
        <f t="shared" si="8"/>
        <v>4273238.6645670542</v>
      </c>
      <c r="J39" s="12">
        <f t="shared" si="8"/>
        <v>4207637.3964235</v>
      </c>
      <c r="K39" s="12">
        <f t="shared" si="8"/>
        <v>4265583.3651921032</v>
      </c>
      <c r="L39" s="12">
        <f t="shared" si="8"/>
        <v>4472633.5533773173</v>
      </c>
      <c r="M39" s="12">
        <f t="shared" si="8"/>
        <v>4481578.820484072</v>
      </c>
      <c r="N39" s="12">
        <f t="shared" si="8"/>
        <v>4515456.2145771319</v>
      </c>
      <c r="O39" s="12">
        <f t="shared" si="8"/>
        <v>4299810.5426813215</v>
      </c>
      <c r="P39" s="12">
        <f>SUM(D39:O39)</f>
        <v>51995704.178117946</v>
      </c>
    </row>
    <row r="40" spans="3:18" x14ac:dyDescent="0.25">
      <c r="C40" s="2" t="s">
        <v>63</v>
      </c>
      <c r="D40" s="12">
        <f>D39-Budgeted!$D$39</f>
        <v>0</v>
      </c>
      <c r="E40" s="12">
        <f>E39-Budgeted!E39</f>
        <v>0</v>
      </c>
      <c r="F40" s="12">
        <f>F39-Budgeted!F39</f>
        <v>0</v>
      </c>
      <c r="G40" s="12">
        <f>G39-Budgeted!G39</f>
        <v>-162009.22006680816</v>
      </c>
      <c r="H40" s="12">
        <f>H39-Budgeted!H39</f>
        <v>-187899.9411436026</v>
      </c>
      <c r="I40" s="12">
        <f>I39-Budgeted!I39</f>
        <v>-172554.93409630843</v>
      </c>
      <c r="J40" s="12">
        <f>J39-Budgeted!J39</f>
        <v>-254107.93058536202</v>
      </c>
      <c r="K40" s="12">
        <f>K39-Budgeted!K39</f>
        <v>-317377.72996572126</v>
      </c>
      <c r="L40" s="12">
        <f>L39-Budgeted!L39</f>
        <v>-449084.32721273322</v>
      </c>
      <c r="M40" s="12">
        <f>M39-Budgeted!M39</f>
        <v>-515487.95480687171</v>
      </c>
      <c r="N40" s="12">
        <f>N39-Budgeted!N39</f>
        <v>-558113.00709531549</v>
      </c>
      <c r="O40" s="12">
        <f>O39-Budgeted!O39</f>
        <v>-570312.33731866535</v>
      </c>
      <c r="P40" s="12">
        <f>P39-Budgeted!P39</f>
        <v>-3186947.3822913915</v>
      </c>
      <c r="Q40" s="15">
        <f>P40/P39</f>
        <v>-6.1292513154050092E-2</v>
      </c>
    </row>
    <row r="41" spans="3:18" x14ac:dyDescent="0.25">
      <c r="C41" s="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3:18" x14ac:dyDescent="0.25">
      <c r="C42" s="1" t="s">
        <v>32</v>
      </c>
      <c r="D42" s="13">
        <f>$D$12</f>
        <v>2850</v>
      </c>
      <c r="E42" s="13">
        <f t="shared" ref="E42:O42" si="9">$D$12</f>
        <v>2850</v>
      </c>
      <c r="F42" s="13">
        <f t="shared" si="9"/>
        <v>2850</v>
      </c>
      <c r="G42" s="13">
        <f t="shared" si="9"/>
        <v>2850</v>
      </c>
      <c r="H42" s="13">
        <f t="shared" si="9"/>
        <v>2850</v>
      </c>
      <c r="I42" s="13">
        <f t="shared" si="9"/>
        <v>2850</v>
      </c>
      <c r="J42" s="13">
        <f t="shared" si="9"/>
        <v>2850</v>
      </c>
      <c r="K42" s="13">
        <f t="shared" si="9"/>
        <v>2850</v>
      </c>
      <c r="L42" s="13">
        <f t="shared" si="9"/>
        <v>2850</v>
      </c>
      <c r="M42" s="13">
        <f t="shared" si="9"/>
        <v>2850</v>
      </c>
      <c r="N42" s="13">
        <f t="shared" si="9"/>
        <v>2850</v>
      </c>
      <c r="O42" s="13">
        <f t="shared" si="9"/>
        <v>2850</v>
      </c>
    </row>
    <row r="43" spans="3:18" x14ac:dyDescent="0.25">
      <c r="C43" s="1" t="s">
        <v>31</v>
      </c>
      <c r="D43" s="13">
        <f t="shared" ref="D43:O43" si="10">D37*D42</f>
        <v>2893631.990924234</v>
      </c>
      <c r="E43" s="13">
        <f t="shared" si="10"/>
        <v>2937931.9645263674</v>
      </c>
      <c r="F43" s="13">
        <f t="shared" si="10"/>
        <v>2982910.1472675013</v>
      </c>
      <c r="G43" s="13">
        <f t="shared" si="10"/>
        <v>2988875.9675620366</v>
      </c>
      <c r="H43" s="13">
        <f t="shared" si="10"/>
        <v>2994853.7194971601</v>
      </c>
      <c r="I43" s="13">
        <f t="shared" si="10"/>
        <v>3000843.4269361543</v>
      </c>
      <c r="J43" s="13">
        <f t="shared" si="10"/>
        <v>3006845.1137900264</v>
      </c>
      <c r="K43" s="13">
        <f t="shared" si="10"/>
        <v>3012858.8040176067</v>
      </c>
      <c r="L43" s="13">
        <f t="shared" si="10"/>
        <v>3018884.5216256417</v>
      </c>
      <c r="M43" s="13">
        <f t="shared" si="10"/>
        <v>3024922.2906688931</v>
      </c>
      <c r="N43" s="13">
        <f t="shared" si="10"/>
        <v>3030972.1352502313</v>
      </c>
      <c r="O43" s="13">
        <f t="shared" si="10"/>
        <v>3037034.0795207317</v>
      </c>
      <c r="P43" s="14">
        <f>SUM(D43:O43)</f>
        <v>35930564.16158659</v>
      </c>
    </row>
    <row r="44" spans="3:18" x14ac:dyDescent="0.25">
      <c r="C44" s="1" t="s">
        <v>38</v>
      </c>
      <c r="D44" s="10">
        <f t="shared" ref="D44:O44" si="11">D37*D32</f>
        <v>40.612378819989253</v>
      </c>
      <c r="E44" s="10">
        <f t="shared" si="11"/>
        <v>41.234132835457785</v>
      </c>
      <c r="F44" s="10">
        <f t="shared" si="11"/>
        <v>41.865405575684228</v>
      </c>
      <c r="G44" s="10">
        <f t="shared" si="11"/>
        <v>57.680062531898947</v>
      </c>
      <c r="H44" s="10">
        <f t="shared" si="11"/>
        <v>57.795422656962742</v>
      </c>
      <c r="I44" s="10">
        <f t="shared" si="11"/>
        <v>42.117100728928484</v>
      </c>
      <c r="J44" s="10">
        <f t="shared" si="11"/>
        <v>47.47650179668463</v>
      </c>
      <c r="K44" s="10">
        <f t="shared" si="11"/>
        <v>47.571454800277998</v>
      </c>
      <c r="L44" s="10">
        <f t="shared" si="11"/>
        <v>58.259174978740454</v>
      </c>
      <c r="M44" s="10">
        <f t="shared" si="11"/>
        <v>58.375693328697942</v>
      </c>
      <c r="N44" s="10">
        <f t="shared" si="11"/>
        <v>53.174949741232126</v>
      </c>
      <c r="O44" s="10">
        <f t="shared" si="11"/>
        <v>47.953169676643128</v>
      </c>
      <c r="P44" s="14"/>
    </row>
    <row r="45" spans="3:18" x14ac:dyDescent="0.25">
      <c r="C45" s="1" t="s">
        <v>34</v>
      </c>
      <c r="D45" s="13">
        <f>$D$19</f>
        <v>100</v>
      </c>
      <c r="E45" s="13">
        <f t="shared" ref="E45:O45" si="12">$D$19</f>
        <v>100</v>
      </c>
      <c r="F45" s="13">
        <f t="shared" si="12"/>
        <v>100</v>
      </c>
      <c r="G45" s="13">
        <f t="shared" si="12"/>
        <v>100</v>
      </c>
      <c r="H45" s="13">
        <f t="shared" si="12"/>
        <v>100</v>
      </c>
      <c r="I45" s="13">
        <f t="shared" si="12"/>
        <v>100</v>
      </c>
      <c r="J45" s="13">
        <f t="shared" si="12"/>
        <v>100</v>
      </c>
      <c r="K45" s="13">
        <f t="shared" si="12"/>
        <v>100</v>
      </c>
      <c r="L45" s="13">
        <f t="shared" si="12"/>
        <v>100</v>
      </c>
      <c r="M45" s="13">
        <f t="shared" si="12"/>
        <v>100</v>
      </c>
      <c r="N45" s="13">
        <f t="shared" si="12"/>
        <v>100</v>
      </c>
      <c r="O45" s="13">
        <f t="shared" si="12"/>
        <v>100</v>
      </c>
    </row>
    <row r="46" spans="3:18" x14ac:dyDescent="0.25">
      <c r="C46" s="1" t="s">
        <v>33</v>
      </c>
      <c r="D46" s="13">
        <f t="shared" ref="D46:O46" si="13">D37*D45</f>
        <v>101530.94704997313</v>
      </c>
      <c r="E46" s="13">
        <f t="shared" si="13"/>
        <v>103085.33208864447</v>
      </c>
      <c r="F46" s="13">
        <f t="shared" si="13"/>
        <v>104663.51393921056</v>
      </c>
      <c r="G46" s="13">
        <f t="shared" si="13"/>
        <v>104872.840967089</v>
      </c>
      <c r="H46" s="13">
        <f t="shared" si="13"/>
        <v>105082.58664902317</v>
      </c>
      <c r="I46" s="13">
        <f t="shared" si="13"/>
        <v>105292.7518223212</v>
      </c>
      <c r="J46" s="13">
        <f t="shared" si="13"/>
        <v>105503.33732596584</v>
      </c>
      <c r="K46" s="13">
        <f t="shared" si="13"/>
        <v>105714.34400061778</v>
      </c>
      <c r="L46" s="13">
        <f t="shared" si="13"/>
        <v>105925.77268861901</v>
      </c>
      <c r="M46" s="13">
        <f t="shared" si="13"/>
        <v>106137.62423399626</v>
      </c>
      <c r="N46" s="13">
        <f t="shared" si="13"/>
        <v>106349.89948246426</v>
      </c>
      <c r="O46" s="13">
        <f t="shared" si="13"/>
        <v>106562.59928142917</v>
      </c>
      <c r="P46" s="14">
        <f>SUM(D46:O46)</f>
        <v>1260721.5495293536</v>
      </c>
    </row>
    <row r="47" spans="3:18" x14ac:dyDescent="0.25">
      <c r="C47" s="2" t="s">
        <v>35</v>
      </c>
      <c r="D47" s="12">
        <f>D43+D46</f>
        <v>2995162.9379742071</v>
      </c>
      <c r="E47" s="12">
        <f t="shared" ref="E47:O47" si="14">E43+E46</f>
        <v>3041017.296615012</v>
      </c>
      <c r="F47" s="12">
        <f t="shared" si="14"/>
        <v>3087573.661206712</v>
      </c>
      <c r="G47" s="12">
        <f t="shared" si="14"/>
        <v>3093748.8085291255</v>
      </c>
      <c r="H47" s="12">
        <f t="shared" si="14"/>
        <v>3099936.3061461831</v>
      </c>
      <c r="I47" s="12">
        <f t="shared" si="14"/>
        <v>3106136.1787584755</v>
      </c>
      <c r="J47" s="12">
        <f t="shared" si="14"/>
        <v>3112348.4511159924</v>
      </c>
      <c r="K47" s="12">
        <f t="shared" si="14"/>
        <v>3118573.1480182246</v>
      </c>
      <c r="L47" s="12">
        <f t="shared" si="14"/>
        <v>3124810.2943142606</v>
      </c>
      <c r="M47" s="12">
        <f t="shared" si="14"/>
        <v>3131059.9149028892</v>
      </c>
      <c r="N47" s="12">
        <f t="shared" si="14"/>
        <v>3137322.0347326957</v>
      </c>
      <c r="O47" s="12">
        <f t="shared" si="14"/>
        <v>3143596.678802161</v>
      </c>
      <c r="P47" s="12">
        <f>SUM(D47:O47)</f>
        <v>37191285.711115941</v>
      </c>
    </row>
    <row r="48" spans="3:18" x14ac:dyDescent="0.25">
      <c r="C48" s="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3:16" x14ac:dyDescent="0.25">
      <c r="C49" s="1" t="s">
        <v>52</v>
      </c>
      <c r="D49" s="13">
        <f>$D$15</f>
        <v>25</v>
      </c>
      <c r="E49" s="13">
        <f t="shared" ref="E49:O49" si="15">$D$15</f>
        <v>25</v>
      </c>
      <c r="F49" s="13">
        <f t="shared" si="15"/>
        <v>25</v>
      </c>
      <c r="G49" s="13">
        <f t="shared" si="15"/>
        <v>25</v>
      </c>
      <c r="H49" s="13">
        <f t="shared" si="15"/>
        <v>25</v>
      </c>
      <c r="I49" s="13">
        <f t="shared" si="15"/>
        <v>25</v>
      </c>
      <c r="J49" s="13">
        <f t="shared" si="15"/>
        <v>25</v>
      </c>
      <c r="K49" s="13">
        <f t="shared" si="15"/>
        <v>25</v>
      </c>
      <c r="L49" s="13">
        <f t="shared" si="15"/>
        <v>25</v>
      </c>
      <c r="M49" s="13">
        <f t="shared" si="15"/>
        <v>25</v>
      </c>
      <c r="N49" s="13">
        <f t="shared" si="15"/>
        <v>25</v>
      </c>
      <c r="O49" s="13">
        <f t="shared" si="15"/>
        <v>25</v>
      </c>
      <c r="P49" s="12"/>
    </row>
    <row r="50" spans="3:16" x14ac:dyDescent="0.25">
      <c r="C50" s="21" t="s">
        <v>53</v>
      </c>
      <c r="D50" s="22">
        <f t="shared" ref="D50:O50" si="16">D37*(1+$D$14)*$D$13</f>
        <v>8173.2412375228359</v>
      </c>
      <c r="E50" s="22">
        <f t="shared" si="16"/>
        <v>8298.3692331358798</v>
      </c>
      <c r="F50" s="22">
        <f t="shared" si="16"/>
        <v>8425.4128721064499</v>
      </c>
      <c r="G50" s="22">
        <f t="shared" si="16"/>
        <v>8442.2636978506634</v>
      </c>
      <c r="H50" s="22">
        <f t="shared" si="16"/>
        <v>8459.1482252463647</v>
      </c>
      <c r="I50" s="22">
        <f t="shared" si="16"/>
        <v>8476.0665216968555</v>
      </c>
      <c r="J50" s="22">
        <f t="shared" si="16"/>
        <v>8493.01865474025</v>
      </c>
      <c r="K50" s="22">
        <f t="shared" si="16"/>
        <v>8510.0046920497298</v>
      </c>
      <c r="L50" s="22">
        <f t="shared" si="16"/>
        <v>8527.0247014338293</v>
      </c>
      <c r="M50" s="22">
        <f t="shared" si="16"/>
        <v>8544.0787508366975</v>
      </c>
      <c r="N50" s="22">
        <f t="shared" si="16"/>
        <v>8561.1669083383713</v>
      </c>
      <c r="O50" s="22">
        <f t="shared" si="16"/>
        <v>8578.2892421550478</v>
      </c>
      <c r="P50" s="12"/>
    </row>
    <row r="51" spans="3:16" x14ac:dyDescent="0.25">
      <c r="C51" s="21" t="s">
        <v>55</v>
      </c>
      <c r="D51" s="13">
        <f>D50*D49</f>
        <v>204331.03093807091</v>
      </c>
      <c r="E51" s="13">
        <f t="shared" ref="E51:O51" si="17">E50*E49</f>
        <v>207459.23082839701</v>
      </c>
      <c r="F51" s="13">
        <f t="shared" si="17"/>
        <v>210635.32180266126</v>
      </c>
      <c r="G51" s="13">
        <f t="shared" si="17"/>
        <v>211056.59244626659</v>
      </c>
      <c r="H51" s="13">
        <f t="shared" si="17"/>
        <v>211478.70563115913</v>
      </c>
      <c r="I51" s="13">
        <f t="shared" si="17"/>
        <v>211901.66304242139</v>
      </c>
      <c r="J51" s="13">
        <f t="shared" si="17"/>
        <v>212325.46636850626</v>
      </c>
      <c r="K51" s="13">
        <f t="shared" si="17"/>
        <v>212750.11730124324</v>
      </c>
      <c r="L51" s="13">
        <f t="shared" si="17"/>
        <v>213175.61753584573</v>
      </c>
      <c r="M51" s="13">
        <f t="shared" si="17"/>
        <v>213601.96877091745</v>
      </c>
      <c r="N51" s="13">
        <f t="shared" si="17"/>
        <v>214029.17270845929</v>
      </c>
      <c r="O51" s="13">
        <f t="shared" si="17"/>
        <v>214457.2310538762</v>
      </c>
      <c r="P51" s="13">
        <f>SUM(D51:O51)</f>
        <v>2537202.1184278247</v>
      </c>
    </row>
    <row r="53" spans="3:16" x14ac:dyDescent="0.25">
      <c r="C53" s="1" t="s">
        <v>51</v>
      </c>
      <c r="D53" s="14">
        <f t="shared" ref="D53:O53" si="18">$D$21</f>
        <v>300</v>
      </c>
      <c r="E53" s="14">
        <f t="shared" si="18"/>
        <v>300</v>
      </c>
      <c r="F53" s="14">
        <f t="shared" si="18"/>
        <v>300</v>
      </c>
      <c r="G53" s="14">
        <f t="shared" si="18"/>
        <v>300</v>
      </c>
      <c r="H53" s="14">
        <f t="shared" si="18"/>
        <v>300</v>
      </c>
      <c r="I53" s="14">
        <f t="shared" si="18"/>
        <v>300</v>
      </c>
      <c r="J53" s="14">
        <f t="shared" si="18"/>
        <v>300</v>
      </c>
      <c r="K53" s="14">
        <f t="shared" si="18"/>
        <v>300</v>
      </c>
      <c r="L53" s="14">
        <f t="shared" si="18"/>
        <v>300</v>
      </c>
      <c r="M53" s="14">
        <f t="shared" si="18"/>
        <v>300</v>
      </c>
      <c r="N53" s="14">
        <f t="shared" si="18"/>
        <v>300</v>
      </c>
      <c r="O53" s="14">
        <f t="shared" si="18"/>
        <v>300</v>
      </c>
    </row>
    <row r="54" spans="3:16" x14ac:dyDescent="0.25">
      <c r="C54" s="1" t="s">
        <v>59</v>
      </c>
      <c r="D54" s="14">
        <f>D17*(D36-1)</f>
        <v>15.309470499731193</v>
      </c>
      <c r="E54" s="14">
        <f t="shared" ref="E54:O54" si="19">D37*(E36-1)</f>
        <v>15.543850386713332</v>
      </c>
      <c r="F54" s="14">
        <f t="shared" si="19"/>
        <v>15.781818505660956</v>
      </c>
      <c r="G54" s="26">
        <f t="shared" si="19"/>
        <v>2.093270278784213</v>
      </c>
      <c r="H54" s="26">
        <f t="shared" si="19"/>
        <v>2.0974568193417817</v>
      </c>
      <c r="I54" s="14">
        <f t="shared" si="19"/>
        <v>2.1016517329804651</v>
      </c>
      <c r="J54" s="14">
        <f t="shared" si="19"/>
        <v>2.1058550364464259</v>
      </c>
      <c r="K54" s="14">
        <f t="shared" si="19"/>
        <v>2.1100667465193186</v>
      </c>
      <c r="L54" s="14">
        <f t="shared" si="19"/>
        <v>2.1142868800123575</v>
      </c>
      <c r="M54" s="14">
        <f t="shared" si="19"/>
        <v>2.1185154537723823</v>
      </c>
      <c r="N54" s="14">
        <f t="shared" si="19"/>
        <v>2.1227524846799271</v>
      </c>
      <c r="O54" s="14">
        <f t="shared" si="19"/>
        <v>2.1269979896492868</v>
      </c>
    </row>
    <row r="55" spans="3:16" x14ac:dyDescent="0.25">
      <c r="C55" s="1" t="s">
        <v>58</v>
      </c>
      <c r="D55" s="15">
        <f>$E$21</f>
        <v>7.9741404289037643E-3</v>
      </c>
      <c r="E55" s="15">
        <f t="shared" ref="E55:F55" si="20">$E$21</f>
        <v>7.9741404289037643E-3</v>
      </c>
      <c r="F55" s="15">
        <f t="shared" si="20"/>
        <v>7.9741404289037643E-3</v>
      </c>
      <c r="G55" s="27">
        <v>1E-3</v>
      </c>
      <c r="H55" s="27">
        <v>1E-3</v>
      </c>
      <c r="I55" s="27">
        <v>1E-3</v>
      </c>
      <c r="J55" s="27">
        <v>1E-3</v>
      </c>
      <c r="K55" s="27">
        <v>1E-3</v>
      </c>
      <c r="L55" s="27">
        <v>1E-3</v>
      </c>
      <c r="M55" s="27">
        <v>1E-3</v>
      </c>
      <c r="N55" s="27">
        <v>1E-3</v>
      </c>
      <c r="O55" s="27">
        <v>1E-3</v>
      </c>
      <c r="P55" s="27">
        <f>SUM(D56:O56)/O37</f>
        <v>3.2072061692587014E-2</v>
      </c>
    </row>
    <row r="56" spans="3:16" x14ac:dyDescent="0.25">
      <c r="C56" s="1" t="s">
        <v>57</v>
      </c>
      <c r="D56" s="9">
        <f t="shared" ref="D56:O56" si="21">D55*D37</f>
        <v>8.0962202965607801</v>
      </c>
      <c r="E56" s="9">
        <f t="shared" si="21"/>
        <v>8.2201691423503025</v>
      </c>
      <c r="F56" s="9">
        <f t="shared" si="21"/>
        <v>8.3460155793379158</v>
      </c>
      <c r="G56" s="28">
        <f t="shared" si="21"/>
        <v>1.04872840967089</v>
      </c>
      <c r="H56" s="28">
        <f t="shared" si="21"/>
        <v>1.0508258664902317</v>
      </c>
      <c r="I56" s="28">
        <f t="shared" si="21"/>
        <v>1.0529275182232121</v>
      </c>
      <c r="J56" s="28">
        <f t="shared" si="21"/>
        <v>1.0550333732596584</v>
      </c>
      <c r="K56" s="28">
        <f t="shared" si="21"/>
        <v>1.0571434400061779</v>
      </c>
      <c r="L56" s="28">
        <f t="shared" si="21"/>
        <v>1.05925772688619</v>
      </c>
      <c r="M56" s="28">
        <f t="shared" si="21"/>
        <v>1.0613762423399626</v>
      </c>
      <c r="N56" s="28">
        <f t="shared" si="21"/>
        <v>1.0634989948246425</v>
      </c>
      <c r="O56" s="28">
        <f t="shared" si="21"/>
        <v>1.0656259928142917</v>
      </c>
    </row>
    <row r="57" spans="3:16" x14ac:dyDescent="0.25">
      <c r="C57" s="1" t="s">
        <v>61</v>
      </c>
      <c r="D57" s="8">
        <f>$D$23</f>
        <v>0.6</v>
      </c>
      <c r="E57" s="8">
        <f>$D$23</f>
        <v>0.6</v>
      </c>
      <c r="F57" s="8">
        <f>$D$23</f>
        <v>0.6</v>
      </c>
      <c r="G57" s="8">
        <v>0.8</v>
      </c>
      <c r="H57" s="8">
        <v>0.8</v>
      </c>
      <c r="I57" s="8">
        <f t="shared" ref="I57:O57" si="22">$D$23</f>
        <v>0.6</v>
      </c>
      <c r="J57" s="8">
        <f t="shared" si="22"/>
        <v>0.6</v>
      </c>
      <c r="K57" s="8">
        <f t="shared" si="22"/>
        <v>0.6</v>
      </c>
      <c r="L57" s="8">
        <f t="shared" si="22"/>
        <v>0.6</v>
      </c>
      <c r="M57" s="8">
        <f t="shared" si="22"/>
        <v>0.6</v>
      </c>
      <c r="N57" s="8">
        <f t="shared" si="22"/>
        <v>0.6</v>
      </c>
      <c r="O57" s="8">
        <f t="shared" si="22"/>
        <v>0.6</v>
      </c>
    </row>
    <row r="58" spans="3:16" x14ac:dyDescent="0.25">
      <c r="C58" s="1" t="s">
        <v>42</v>
      </c>
      <c r="D58" s="14">
        <f>(D54*D57+D56)*D53</f>
        <v>5184.5707789198495</v>
      </c>
      <c r="E58" s="14">
        <f t="shared" ref="E58:O58" si="23">(E54*E57+E56)*E53</f>
        <v>5263.9438123134905</v>
      </c>
      <c r="F58" s="14">
        <f t="shared" si="23"/>
        <v>5344.5320048203466</v>
      </c>
      <c r="G58" s="14">
        <f t="shared" si="23"/>
        <v>817.00338980947811</v>
      </c>
      <c r="H58" s="14">
        <f t="shared" si="23"/>
        <v>818.63739658909719</v>
      </c>
      <c r="I58" s="14">
        <f t="shared" si="23"/>
        <v>694.17556740344742</v>
      </c>
      <c r="J58" s="14">
        <f t="shared" si="23"/>
        <v>695.56391853825414</v>
      </c>
      <c r="K58" s="14">
        <f t="shared" si="23"/>
        <v>696.95504637533077</v>
      </c>
      <c r="L58" s="14">
        <f t="shared" si="23"/>
        <v>698.34895646808127</v>
      </c>
      <c r="M58" s="14">
        <f t="shared" si="23"/>
        <v>699.74565438101763</v>
      </c>
      <c r="N58" s="14">
        <f t="shared" si="23"/>
        <v>701.1451456897795</v>
      </c>
      <c r="O58" s="14">
        <f t="shared" si="23"/>
        <v>702.54743598115908</v>
      </c>
      <c r="P58" s="14">
        <f>SUM(D58:O58)</f>
        <v>22317.16910728933</v>
      </c>
    </row>
    <row r="59" spans="3:16" x14ac:dyDescent="0.25">
      <c r="C59" s="1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3:16" x14ac:dyDescent="0.25">
      <c r="C60" s="1" t="s">
        <v>40</v>
      </c>
      <c r="D60" s="16">
        <f t="shared" ref="D60:O60" si="24">$D$22</f>
        <v>5.5E-2</v>
      </c>
      <c r="E60" s="16">
        <f t="shared" si="24"/>
        <v>5.5E-2</v>
      </c>
      <c r="F60" s="16">
        <f t="shared" si="24"/>
        <v>5.5E-2</v>
      </c>
      <c r="G60" s="16">
        <f t="shared" si="24"/>
        <v>5.5E-2</v>
      </c>
      <c r="H60" s="16">
        <f t="shared" si="24"/>
        <v>5.5E-2</v>
      </c>
      <c r="I60" s="16">
        <f t="shared" si="24"/>
        <v>5.5E-2</v>
      </c>
      <c r="J60" s="16">
        <f t="shared" si="24"/>
        <v>5.5E-2</v>
      </c>
      <c r="K60" s="16">
        <f t="shared" si="24"/>
        <v>5.5E-2</v>
      </c>
      <c r="L60" s="16">
        <f t="shared" si="24"/>
        <v>5.5E-2</v>
      </c>
      <c r="M60" s="16">
        <f t="shared" si="24"/>
        <v>5.5E-2</v>
      </c>
      <c r="N60" s="16">
        <f t="shared" si="24"/>
        <v>5.5E-2</v>
      </c>
      <c r="O60" s="16">
        <f t="shared" si="24"/>
        <v>5.5E-2</v>
      </c>
    </row>
    <row r="61" spans="3:16" x14ac:dyDescent="0.25">
      <c r="C61" s="1" t="s">
        <v>41</v>
      </c>
      <c r="D61" s="14">
        <f t="shared" ref="D61:O61" si="25">D60*D47</f>
        <v>164733.96158858138</v>
      </c>
      <c r="E61" s="14">
        <f t="shared" si="25"/>
        <v>167255.95131382567</v>
      </c>
      <c r="F61" s="14">
        <f t="shared" si="25"/>
        <v>169816.55136636915</v>
      </c>
      <c r="G61" s="14">
        <f t="shared" si="25"/>
        <v>170156.18446910189</v>
      </c>
      <c r="H61" s="14">
        <f t="shared" si="25"/>
        <v>170496.49683804007</v>
      </c>
      <c r="I61" s="14">
        <f t="shared" si="25"/>
        <v>170837.48983171614</v>
      </c>
      <c r="J61" s="14">
        <f t="shared" si="25"/>
        <v>171179.1648113796</v>
      </c>
      <c r="K61" s="14">
        <f t="shared" si="25"/>
        <v>171521.52314100237</v>
      </c>
      <c r="L61" s="14">
        <f t="shared" si="25"/>
        <v>171864.56618728433</v>
      </c>
      <c r="M61" s="14">
        <f t="shared" si="25"/>
        <v>172208.29531965891</v>
      </c>
      <c r="N61" s="14">
        <f t="shared" si="25"/>
        <v>172552.71191029827</v>
      </c>
      <c r="O61" s="14">
        <f t="shared" si="25"/>
        <v>172897.81733411885</v>
      </c>
      <c r="P61" s="14">
        <f>SUM(D61:O61)</f>
        <v>2045520.7141113766</v>
      </c>
    </row>
    <row r="62" spans="3:16" x14ac:dyDescent="0.25">
      <c r="C62" s="1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3:16" ht="14.25" customHeight="1" x14ac:dyDescent="0.25">
      <c r="C63" s="2" t="s">
        <v>43</v>
      </c>
      <c r="D63" s="12">
        <f t="shared" ref="D63:O63" si="26">D61+D58+D51</f>
        <v>374249.56330557214</v>
      </c>
      <c r="E63" s="12">
        <f t="shared" si="26"/>
        <v>379979.12595453614</v>
      </c>
      <c r="F63" s="12">
        <f t="shared" si="26"/>
        <v>385796.40517385077</v>
      </c>
      <c r="G63" s="12">
        <f t="shared" si="26"/>
        <v>382029.78030517796</v>
      </c>
      <c r="H63" s="12">
        <f t="shared" si="26"/>
        <v>382793.83986578829</v>
      </c>
      <c r="I63" s="12">
        <f t="shared" si="26"/>
        <v>383433.32844154094</v>
      </c>
      <c r="J63" s="12">
        <f t="shared" si="26"/>
        <v>384200.1950984241</v>
      </c>
      <c r="K63" s="12">
        <f t="shared" si="26"/>
        <v>384968.59548862092</v>
      </c>
      <c r="L63" s="12">
        <f t="shared" si="26"/>
        <v>385738.53267959814</v>
      </c>
      <c r="M63" s="12">
        <f t="shared" si="26"/>
        <v>386510.00974495738</v>
      </c>
      <c r="N63" s="12">
        <f t="shared" si="26"/>
        <v>387283.02976444736</v>
      </c>
      <c r="O63" s="12">
        <f t="shared" si="26"/>
        <v>388057.59582397621</v>
      </c>
      <c r="P63" s="12">
        <f>SUM(D63:O63)</f>
        <v>4605040.0016464908</v>
      </c>
    </row>
    <row r="64" spans="3:16" x14ac:dyDescent="0.25">
      <c r="C64" s="1" t="s">
        <v>44</v>
      </c>
      <c r="D64" s="14">
        <f t="shared" ref="D64:O64" si="27">D63/D37</f>
        <v>368.60639458171113</v>
      </c>
      <c r="E64" s="14">
        <f t="shared" si="27"/>
        <v>368.60639458171119</v>
      </c>
      <c r="F64" s="14">
        <f t="shared" si="27"/>
        <v>368.60639458171119</v>
      </c>
      <c r="G64" s="14">
        <f t="shared" si="27"/>
        <v>364.27904191616767</v>
      </c>
      <c r="H64" s="14">
        <f t="shared" si="27"/>
        <v>364.27904191616767</v>
      </c>
      <c r="I64" s="14">
        <f t="shared" si="27"/>
        <v>364.15928143712568</v>
      </c>
      <c r="J64" s="14">
        <f t="shared" si="27"/>
        <v>364.15928143712574</v>
      </c>
      <c r="K64" s="14">
        <f t="shared" si="27"/>
        <v>364.15928143712568</v>
      </c>
      <c r="L64" s="14">
        <f t="shared" si="27"/>
        <v>364.15928143712568</v>
      </c>
      <c r="M64" s="14">
        <f t="shared" si="27"/>
        <v>364.15928143712574</v>
      </c>
      <c r="N64" s="14">
        <f t="shared" si="27"/>
        <v>364.1592814371258</v>
      </c>
      <c r="O64" s="14">
        <f t="shared" si="27"/>
        <v>364.15928143712574</v>
      </c>
    </row>
    <row r="66" spans="3:17" x14ac:dyDescent="0.25">
      <c r="C66" s="2" t="s">
        <v>46</v>
      </c>
      <c r="D66" s="12">
        <f t="shared" ref="D66:P66" si="28">D39-D47-D63</f>
        <v>751155.7341880626</v>
      </c>
      <c r="E66" s="12">
        <f t="shared" si="28"/>
        <v>1004150.1020476489</v>
      </c>
      <c r="F66" s="12">
        <f t="shared" si="28"/>
        <v>1019523.1084122495</v>
      </c>
      <c r="G66" s="12">
        <f t="shared" si="28"/>
        <v>774521.89292532764</v>
      </c>
      <c r="H66" s="12">
        <f t="shared" si="28"/>
        <v>708127.05816600006</v>
      </c>
      <c r="I66" s="12">
        <f t="shared" si="28"/>
        <v>783669.15736703784</v>
      </c>
      <c r="J66" s="12">
        <f t="shared" si="28"/>
        <v>711088.75020908355</v>
      </c>
      <c r="K66" s="12">
        <f t="shared" si="28"/>
        <v>762041.62168525765</v>
      </c>
      <c r="L66" s="12">
        <f t="shared" si="28"/>
        <v>962084.72638345859</v>
      </c>
      <c r="M66" s="12">
        <f t="shared" si="28"/>
        <v>964008.89583622548</v>
      </c>
      <c r="N66" s="12">
        <f t="shared" si="28"/>
        <v>990851.15007998887</v>
      </c>
      <c r="O66" s="12">
        <f t="shared" si="28"/>
        <v>768156.26805518428</v>
      </c>
      <c r="P66" s="12">
        <f t="shared" si="28"/>
        <v>10199378.465355514</v>
      </c>
      <c r="Q66" s="15">
        <f>P67/P66</f>
        <v>-9.4702967361227755E-2</v>
      </c>
    </row>
    <row r="67" spans="3:17" x14ac:dyDescent="0.25">
      <c r="C67" s="2" t="s">
        <v>65</v>
      </c>
      <c r="D67" s="12">
        <f>D66-Budgeted!D67</f>
        <v>0</v>
      </c>
      <c r="E67" s="12">
        <f>E66-Budgeted!E67</f>
        <v>0</v>
      </c>
      <c r="F67" s="12">
        <f>F66-Budgeted!F67</f>
        <v>0</v>
      </c>
      <c r="G67" s="12">
        <f>G66-Budgeted!G67</f>
        <v>-111242.28595464642</v>
      </c>
      <c r="H67" s="12">
        <f>H66-Budgeted!H67</f>
        <v>-90095.01955960039</v>
      </c>
      <c r="I67" s="12">
        <f>I66-Budgeted!I67</f>
        <v>-26773.277709737304</v>
      </c>
      <c r="J67" s="12">
        <f>J66-Budgeted!J67</f>
        <v>-59650.111818098347</v>
      </c>
      <c r="K67" s="12">
        <f>K66-Budgeted!K67</f>
        <v>-73405.653900932171</v>
      </c>
      <c r="L67" s="12">
        <f>L66-Budgeted!L67</f>
        <v>-154746.88236689032</v>
      </c>
      <c r="M67" s="12">
        <f>M66-Budgeted!M67</f>
        <v>-169920.8134814545</v>
      </c>
      <c r="N67" s="12">
        <f>N66-Budgeted!N67</f>
        <v>-160438.42267125892</v>
      </c>
      <c r="O67" s="12">
        <f>O66-Budgeted!O67</f>
        <v>-119638.9384467476</v>
      </c>
      <c r="P67" s="12">
        <f>P66-Budgeted!P67</f>
        <v>-965911.40590937249</v>
      </c>
    </row>
    <row r="68" spans="3:17" x14ac:dyDescent="0.25">
      <c r="C68" s="2" t="s">
        <v>45</v>
      </c>
      <c r="D68" s="18">
        <f t="shared" ref="D68:P68" si="29">D66/D39</f>
        <v>0.18229421071649302</v>
      </c>
      <c r="E68" s="18">
        <f t="shared" si="29"/>
        <v>0.22691906278391857</v>
      </c>
      <c r="F68" s="18">
        <f t="shared" si="29"/>
        <v>0.2269190627839186</v>
      </c>
      <c r="G68" s="18">
        <f t="shared" si="29"/>
        <v>0.18222756161575532</v>
      </c>
      <c r="H68" s="18">
        <f t="shared" si="29"/>
        <v>0.16896950281676271</v>
      </c>
      <c r="I68" s="18">
        <f t="shared" si="29"/>
        <v>0.18338998096808518</v>
      </c>
      <c r="J68" s="18">
        <f t="shared" si="29"/>
        <v>0.16899953185450589</v>
      </c>
      <c r="K68" s="18">
        <f t="shared" si="29"/>
        <v>0.17864886381160638</v>
      </c>
      <c r="L68" s="18">
        <f t="shared" si="29"/>
        <v>0.21510475090385656</v>
      </c>
      <c r="M68" s="18">
        <f t="shared" si="29"/>
        <v>0.21510475090385653</v>
      </c>
      <c r="N68" s="18">
        <f t="shared" si="29"/>
        <v>0.21943544638551679</v>
      </c>
      <c r="O68" s="18">
        <f t="shared" si="29"/>
        <v>0.17864886381160627</v>
      </c>
      <c r="P68" s="18">
        <f t="shared" si="29"/>
        <v>0.19615809856937866</v>
      </c>
    </row>
    <row r="69" spans="3:17" x14ac:dyDescent="0.25">
      <c r="C69" s="2" t="s">
        <v>64</v>
      </c>
      <c r="D69" s="18">
        <f>D68-Budgeted!D69</f>
        <v>0</v>
      </c>
      <c r="E69" s="18">
        <f>E68-Budgeted!E69</f>
        <v>0</v>
      </c>
      <c r="F69" s="18">
        <f>F68-Budgeted!F69</f>
        <v>0</v>
      </c>
      <c r="G69" s="18">
        <f>G68-Budgeted!G69</f>
        <v>-1.8520853327402304E-2</v>
      </c>
      <c r="H69" s="18">
        <f>H68-Budgeted!H69</f>
        <v>-1.3324707899730309E-2</v>
      </c>
      <c r="I69" s="18">
        <f>I68-Budgeted!I69</f>
        <v>1.0957702515920764E-3</v>
      </c>
      <c r="J69" s="18">
        <f>J68-Budgeted!J69</f>
        <v>-3.7442725400587962E-3</v>
      </c>
      <c r="K69" s="18">
        <f>K68-Budgeted!K69</f>
        <v>-3.6453469048865761E-3</v>
      </c>
      <c r="L69" s="18">
        <f>L68-Budgeted!L69</f>
        <v>-1.1814311880062128E-2</v>
      </c>
      <c r="M69" s="18">
        <f>M68-Budgeted!M69</f>
        <v>-1.1814311880062212E-2</v>
      </c>
      <c r="N69" s="18">
        <f>N68-Budgeted!N69</f>
        <v>-7.4836163984019488E-3</v>
      </c>
      <c r="O69" s="18">
        <f>O68-Budgeted!O69</f>
        <v>-3.6453469048868259E-3</v>
      </c>
      <c r="P69" s="18">
        <f>P68-Budgeted!P69</f>
        <v>-6.1752354684405097E-3</v>
      </c>
    </row>
    <row r="70" spans="3:17" x14ac:dyDescent="0.25">
      <c r="C70" s="2"/>
    </row>
    <row r="71" spans="3:17" x14ac:dyDescent="0.25">
      <c r="C71" s="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3:17" x14ac:dyDescent="0.25">
      <c r="C72" s="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3:17" x14ac:dyDescent="0.25">
      <c r="C73" s="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3:17" x14ac:dyDescent="0.25">
      <c r="C74" s="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3:17" x14ac:dyDescent="0.25">
      <c r="C75" s="2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</sheetData>
  <conditionalFormatting sqref="D40:P41">
    <cfRule type="cellIs" dxfId="2" priority="5" operator="lessThan">
      <formula>0</formula>
    </cfRule>
  </conditionalFormatting>
  <conditionalFormatting sqref="D69:P69">
    <cfRule type="cellIs" dxfId="1" priority="4" operator="lessThan">
      <formula>0</formula>
    </cfRule>
  </conditionalFormatting>
  <conditionalFormatting sqref="Q4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7:P6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Budgeted</vt:lpstr>
      <vt:lpstr>L-shape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Lyubomyr</dc:creator>
  <cp:lastModifiedBy>Lyubomyr Boychuk</cp:lastModifiedBy>
  <dcterms:created xsi:type="dcterms:W3CDTF">2020-04-11T17:01:17Z</dcterms:created>
  <dcterms:modified xsi:type="dcterms:W3CDTF">2020-06-16T13:24:30Z</dcterms:modified>
</cp:coreProperties>
</file>