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40" activeTab="2"/>
  </bookViews>
  <sheets>
    <sheet name="目录" sheetId="1" r:id="rId1"/>
    <sheet name="户型指标表" sheetId="2" r:id="rId2"/>
    <sheet name="总图指标" sheetId="3" r:id="rId3"/>
    <sheet name="Sheet1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<sst xmlns="http://schemas.openxmlformats.org/spreadsheetml/2006/main" count="251" uniqueCount="146">
  <si>
    <t>在线总表</t>
  </si>
  <si>
    <t>户型指标表</t>
  </si>
  <si>
    <t>总图指标</t>
  </si>
  <si>
    <t>&lt;--返回目录</t>
  </si>
  <si>
    <t>户型1A</t>
  </si>
  <si>
    <t>户型</t>
  </si>
  <si>
    <t>套内面积</t>
  </si>
  <si>
    <t>阳台面积</t>
  </si>
  <si>
    <t>公摊面积</t>
  </si>
  <si>
    <t>公摊系数</t>
  </si>
  <si>
    <t>建筑面积</t>
  </si>
  <si>
    <t>户数</t>
  </si>
  <si>
    <t>总建筑面积</t>
  </si>
  <si>
    <t>建筑栋数</t>
  </si>
  <si>
    <t>建筑层数</t>
  </si>
  <si>
    <t>户型建筑面积</t>
  </si>
  <si>
    <t>A</t>
  </si>
  <si>
    <t>B</t>
  </si>
  <si>
    <t>C</t>
  </si>
  <si>
    <t>D</t>
  </si>
  <si>
    <t>主要经济技术指标</t>
  </si>
  <si>
    <t>分栋数据</t>
  </si>
  <si>
    <t>序号</t>
  </si>
  <si>
    <t>名称</t>
  </si>
  <si>
    <t>单位</t>
  </si>
  <si>
    <t>数量</t>
  </si>
  <si>
    <t>备注</t>
  </si>
  <si>
    <t>建筑高度（按正负零计算）</t>
  </si>
  <si>
    <t>首层占地面积</t>
  </si>
  <si>
    <t>住宅（不含屋顶楼梯间）</t>
  </si>
  <si>
    <t>商业</t>
  </si>
  <si>
    <t>写字楼</t>
  </si>
  <si>
    <t>公寓</t>
  </si>
  <si>
    <t>幼儿园</t>
  </si>
  <si>
    <t>消防控制室</t>
  </si>
  <si>
    <t xml:space="preserve">物业管理用房 </t>
  </si>
  <si>
    <t>社区服务用房</t>
  </si>
  <si>
    <t>架空</t>
  </si>
  <si>
    <t>屋顶楼梯间</t>
  </si>
  <si>
    <t>计容面积</t>
  </si>
  <si>
    <t>单栋总建筑面积</t>
  </si>
  <si>
    <t>层数</t>
  </si>
  <si>
    <t>总用地面积</t>
  </si>
  <si>
    <r>
      <t>m</t>
    </r>
    <r>
      <rPr>
        <vertAlign val="superscript"/>
        <sz val="12"/>
        <rFont val="宋体"/>
        <charset val="134"/>
      </rPr>
      <t>2</t>
    </r>
  </si>
  <si>
    <t>1#</t>
  </si>
  <si>
    <t>净用地面积</t>
  </si>
  <si>
    <t>2#</t>
  </si>
  <si>
    <t>3#</t>
  </si>
  <si>
    <t>1+26</t>
  </si>
  <si>
    <t>其中</t>
  </si>
  <si>
    <t>住宅</t>
  </si>
  <si>
    <t>4#</t>
  </si>
  <si>
    <t>商铺</t>
  </si>
  <si>
    <t>5#</t>
  </si>
  <si>
    <t>6#</t>
  </si>
  <si>
    <t>2+24</t>
  </si>
  <si>
    <t>7#</t>
  </si>
  <si>
    <t>12班</t>
  </si>
  <si>
    <t>8#</t>
  </si>
  <si>
    <t>物业管理用房</t>
  </si>
  <si>
    <t>9#</t>
  </si>
  <si>
    <t>10#</t>
  </si>
  <si>
    <t>车库</t>
  </si>
  <si>
    <t>不计容</t>
  </si>
  <si>
    <t>11#</t>
  </si>
  <si>
    <t>12#</t>
  </si>
  <si>
    <t>13#</t>
  </si>
  <si>
    <t>2+14</t>
  </si>
  <si>
    <t>计容建筑面积</t>
  </si>
  <si>
    <t>14#</t>
  </si>
  <si>
    <t>建筑占地面积</t>
  </si>
  <si>
    <t>15#</t>
  </si>
  <si>
    <t>绿地面积</t>
  </si>
  <si>
    <t>16#</t>
  </si>
  <si>
    <t>建筑密度</t>
  </si>
  <si>
    <t>%</t>
  </si>
  <si>
    <t>17#</t>
  </si>
  <si>
    <t>容积率</t>
  </si>
  <si>
    <t>18#</t>
  </si>
  <si>
    <t>绿化率</t>
  </si>
  <si>
    <t>19#</t>
  </si>
  <si>
    <t>商业比例</t>
  </si>
  <si>
    <t>20#</t>
  </si>
  <si>
    <t>机动车停车位</t>
  </si>
  <si>
    <t>辆</t>
  </si>
  <si>
    <t>21#</t>
  </si>
  <si>
    <t>地面停车位</t>
  </si>
  <si>
    <t>合计</t>
  </si>
  <si>
    <t>车库停车位</t>
  </si>
  <si>
    <t>注1:人防部分面积计算=地上面积*5%+（地下面积-地上面积*5%）10%=约17695.16平方米</t>
  </si>
  <si>
    <t xml:space="preserve">注2：物业管理用房计算依据:（益阳市物业管理实施办法），物业管理用房面积应配置：216201.65平方米X3/1000平方米=648.60平方米 </t>
  </si>
  <si>
    <t xml:space="preserve">注3：社区活动用房计算:社区活动用房面积应配置：1570户X20平方米/100户=3140平方米 </t>
  </si>
  <si>
    <t>注4:停车位计算依据：《益阳市城市技术管理规定》，安置区住宅按照0.7辆/100平方米、幼儿园按照1.5辆/每班，商业以及其他配套公建按照1辆/100平方米计算，停车位应配置=1513+18+506=2037个车位</t>
  </si>
  <si>
    <t>土石方工程平衡表</t>
  </si>
  <si>
    <r>
      <rPr>
        <sz val="11"/>
        <color theme="1"/>
        <rFont val="宋体"/>
        <charset val="134"/>
      </rPr>
      <t>项目</t>
    </r>
  </si>
  <si>
    <r>
      <rPr>
        <sz val="11"/>
        <color theme="1"/>
        <rFont val="宋体"/>
        <charset val="134"/>
      </rPr>
      <t>总填方（</t>
    </r>
    <r>
      <rPr>
        <sz val="11"/>
        <color theme="1"/>
        <rFont val="tggj"/>
        <charset val="134"/>
      </rPr>
      <t>m2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</si>
  <si>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总挖方（</t>
    </r>
    <r>
      <rPr>
        <sz val="11"/>
        <color theme="1"/>
        <rFont val="tggj"/>
        <charset val="134"/>
      </rPr>
      <t>m2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</si>
  <si>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平均高度</t>
    </r>
  </si>
  <si>
    <r>
      <rPr>
        <sz val="11"/>
        <color theme="1"/>
        <rFont val="宋体"/>
        <charset val="134"/>
      </rPr>
      <t>场地平整</t>
    </r>
  </si>
  <si>
    <t>设计说明</t>
  </si>
  <si>
    <t>设计说明:</t>
  </si>
  <si>
    <t>1. 工程概述：</t>
  </si>
  <si>
    <t>1.1 建设地点：沅江市</t>
  </si>
  <si>
    <t>1.2 建筑规模：323586.10平方米。</t>
  </si>
  <si>
    <t>1.3 该工程1#-18#栋为住宅，1、13、14#栋为二类建筑，建筑耐火等级为二级，其他为一类建筑，建筑耐火</t>
  </si>
  <si>
    <t>等级为一级；19#栋一类高层公共建筑建筑耐火等级为一级、20#栋二类高层公共建筑建筑耐火等级为</t>
  </si>
  <si>
    <t>1.4 环境景观设计、燃气设计、高压电力系统、弱电系统另详有关设计图纸。二级；21#栋为幼儿园，抗震按6度设防。</t>
  </si>
  <si>
    <t>2.设计依据：</t>
  </si>
  <si>
    <t>2.1 《设计合同书》和现状地形图。</t>
  </si>
  <si>
    <t>2.2 规划设计用地红线图和建筑红线。</t>
  </si>
  <si>
    <t>2.3 初步设计及建设方认可的设计方案。</t>
  </si>
  <si>
    <t>2.4 周边道路工程和排水工程设计图。</t>
  </si>
  <si>
    <t>3. 采用规范和标准：</t>
  </si>
  <si>
    <t>3.1 建筑设计防火规范(GB50016-2014（2018年版））</t>
  </si>
  <si>
    <t>3.3 益阳市城市规划管理技术规定3.2 城市居住区规划设计规范（GB50180-2018）</t>
  </si>
  <si>
    <t>3.4 国家其它有关法规</t>
  </si>
  <si>
    <t>4. 总平面竖向设计说明：</t>
  </si>
  <si>
    <t>4.1 总图中的坐标、标高和距离以米为单位，详图以毫米为单位,坡度以百分比计。</t>
  </si>
  <si>
    <t>4.2 图中对小区内建构筑物、道路坐标采用2000坐标系网标注,绝对标高为黄海高程系统。</t>
  </si>
  <si>
    <t>4.3 图中标注的标高为绝对标高。建构筑物、道路按以下规定标注有关部位的标高。</t>
  </si>
  <si>
    <t>（1） 图中标注建筑物室内地坪绝对标高，为单体建筑图中%%P0.000处的绝对标高。</t>
  </si>
  <si>
    <t>（2） 总图中建筑物室外散水，标注建筑物四周转角或两对角的散水坡脚处的标高。</t>
  </si>
  <si>
    <t>（3） 道路标注路面中心交点及变坡点的标高。</t>
  </si>
  <si>
    <t>（4） 排水沟标注沟顶和沟底标高。</t>
  </si>
  <si>
    <t>（5） 场地平整标注其控制位置标高，铺砌场地标注其铺砌面标高。</t>
  </si>
  <si>
    <t>（6） 每栋建筑的雨水排水沟详见建施图，接相近的室外雨水管网。</t>
  </si>
  <si>
    <t>4.4 图中建构筑物一般标注其三个角的坐标。平面形状规整标注其二个角的坐标。</t>
  </si>
  <si>
    <t>4.5 图中建构筑物、道路的坐标和尺寸标注在下列部位：</t>
  </si>
  <si>
    <t>（1） 地上建构筑物的首层外墙轴线交点，地下建筑物的外墙边线交点。</t>
  </si>
  <si>
    <t>（2） 圆形建构筑物的中心。</t>
  </si>
  <si>
    <t>（3） 走廊的中线或其交点。</t>
  </si>
  <si>
    <t>（4） 道路的中线或转折点。</t>
  </si>
  <si>
    <t>（5） 管线（包括管沟）的中线或其交点。</t>
  </si>
  <si>
    <t>4.6 图中建构筑物、道路、管线的施工坐标和标高未经设计方同意不应擅自修改。</t>
  </si>
  <si>
    <t>5. 其它设计说明；</t>
  </si>
  <si>
    <t>5.1 路灯杆、雨水井、雨水口总平面位置详电施、水施图。园路平面布置详环境景观设计图纸。</t>
  </si>
  <si>
    <t>5.2 图中围墙、栏杆设计详景观专业设计图纸。</t>
  </si>
  <si>
    <t>6.建筑施工现场建筑垃圾的总量控制应满足：</t>
  </si>
  <si>
    <t>(1)砖混结构不超过400t/万平方米；</t>
  </si>
  <si>
    <t xml:space="preserve">(2)现浇混凝土结构不超过300t/万平方米 </t>
  </si>
  <si>
    <t>(3)装配式建筑不超过200t/万平方米。</t>
  </si>
  <si>
    <t>7.消防车道、消防扑救场地路面做法:</t>
  </si>
  <si>
    <t>（1) 220厚C25混凝土面层</t>
  </si>
  <si>
    <t>（2) 25厚粗砂</t>
  </si>
  <si>
    <t>（3) 300厚级配砂石或3:7灰土分层夯实</t>
  </si>
  <si>
    <t>（4) 略基碾压密实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</si>
</sst>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&quot;户&quot;"/>
    <numFmt numFmtId="177" formatCode="0.00_ "/>
    <numFmt numFmtId="178" formatCode="0.00_);[Red]\(0.00\)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sz val="20"/>
      <name val="宋体"/>
      <charset val="134"/>
    </font>
    <font>
      <sz val="20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Tahoma"/>
      <charset val="134"/>
    </font>
    <font>
      <sz val="20"/>
      <color theme="1"/>
      <name val="宋体"/>
      <charset val="134"/>
    </font>
    <font>
      <sz val="20"/>
      <color theme="1"/>
      <name val="tggj"/>
      <charset val="134"/>
    </font>
    <font>
      <sz val="11"/>
      <color theme="1"/>
      <name val="tggj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2"/>
      <name val="宋体"/>
      <charset val="134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0" borderId="10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14" borderId="13" applyNumberFormat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24" fillId="15" borderId="14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10" fontId="1" fillId="0" borderId="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10" applyFo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2" borderId="4" xfId="0" applyFont="1" applyFill="1" applyBorder="1" applyAlignment="1">
      <alignment horizontal="center"/>
    </xf>
    <xf numFmtId="178" fontId="6" fillId="2" borderId="4" xfId="0" applyNumberFormat="1" applyFont="1" applyFill="1" applyBorder="1" applyAlignment="1">
      <alignment horizontal="center"/>
    </xf>
    <xf numFmtId="0" fontId="0" fillId="0" borderId="4" xfId="0" applyBorder="1">
      <alignment vertical="center"/>
    </xf>
    <xf numFmtId="0" fontId="1" fillId="0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1" fillId="0" borderId="4" xfId="49" applyBorder="1">
      <alignment vertical="center"/>
    </xf>
    <xf numFmtId="177" fontId="1" fillId="0" borderId="4" xfId="0" applyNumberFormat="1" applyFont="1" applyFill="1" applyBorder="1" applyAlignment="1">
      <alignment horizontal="center" vertical="center"/>
    </xf>
    <xf numFmtId="0" fontId="1" fillId="0" borderId="4" xfId="49" applyBorder="1" applyAlignment="1">
      <alignment horizontal="center" vertical="center"/>
    </xf>
    <xf numFmtId="177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58" fontId="6" fillId="2" borderId="4" xfId="0" applyNumberFormat="1" applyFont="1" applyFill="1" applyBorder="1" applyAlignment="1">
      <alignment horizontal="center"/>
    </xf>
    <xf numFmtId="10" fontId="6" fillId="2" borderId="4" xfId="0" applyNumberFormat="1" applyFont="1" applyFill="1" applyBorder="1" applyAlignment="1">
      <alignment horizontal="center"/>
    </xf>
    <xf numFmtId="0" fontId="6" fillId="2" borderId="4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4" xfId="0" applyFont="1" applyFill="1" applyBorder="1" applyAlignment="1"/>
    <xf numFmtId="0" fontId="6" fillId="0" borderId="4" xfId="0" applyFont="1" applyFill="1" applyBorder="1" applyAlignment="1"/>
    <xf numFmtId="0" fontId="5" fillId="0" borderId="4" xfId="0" applyFont="1" applyFill="1" applyBorder="1" applyAlignment="1">
      <alignment horizontal="center"/>
    </xf>
    <xf numFmtId="178" fontId="6" fillId="0" borderId="4" xfId="0" applyNumberFormat="1" applyFont="1" applyFill="1" applyBorder="1" applyAlignment="1"/>
    <xf numFmtId="0" fontId="5" fillId="0" borderId="0" xfId="0" applyFont="1" applyFill="1" applyAlignment="1"/>
    <xf numFmtId="0" fontId="6" fillId="0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5509;&#25910;&#25991;&#20214;\&#19969;&#23478;&#22365;&#20027;&#35201;&#32463;&#27982;&#25216;&#26415;&#25351;&#26631;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分栋指标"/>
      <sheetName val="主要经济技术指标"/>
    </sheetNames>
    <sheetDataSet>
      <sheetData sheetId="0">
        <row r="23">
          <cell r="C23">
            <v>22239.81</v>
          </cell>
          <cell r="D23">
            <v>213353.99</v>
          </cell>
          <cell r="E23">
            <v>30407.87</v>
          </cell>
          <cell r="F23">
            <v>7139.52</v>
          </cell>
          <cell r="G23">
            <v>12254.64</v>
          </cell>
          <cell r="H23">
            <v>4288.56</v>
          </cell>
        </row>
        <row r="23">
          <cell r="J23">
            <v>1553.2</v>
          </cell>
          <cell r="K23">
            <v>0</v>
          </cell>
          <cell r="L23">
            <v>3402.29</v>
          </cell>
          <cell r="M23">
            <v>1563.5</v>
          </cell>
          <cell r="N23">
            <v>267444.58</v>
          </cell>
          <cell r="O23">
            <v>274006.81</v>
          </cell>
          <cell r="P23">
            <v>1719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"/>
  <sheetViews>
    <sheetView workbookViewId="0">
      <selection activeCell="B3" sqref="B3"/>
    </sheetView>
  </sheetViews>
  <sheetFormatPr defaultColWidth="9" defaultRowHeight="13.5" outlineLevelCol="1"/>
  <cols>
    <col min="1" max="1" width="3.5" customWidth="1"/>
    <col min="2" max="2" width="15.875" customWidth="1"/>
  </cols>
  <sheetData>
    <row r="1" spans="1:2">
      <c r="A1">
        <v>1</v>
      </c>
      <c r="B1" t="s">
        <v>0</v>
      </c>
    </row>
    <row r="2" spans="1:2">
      <c r="A2">
        <v>2</v>
      </c>
      <c r="B2" s="17" t="s">
        <v>1</v>
      </c>
    </row>
    <row r="3" spans="1:2">
      <c r="A3">
        <v>3</v>
      </c>
      <c r="B3" s="17" t="s">
        <v>2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1:1">
      <c r="A14">
        <v>14</v>
      </c>
    </row>
    <row r="15" spans="1:1">
      <c r="A15">
        <v>15</v>
      </c>
    </row>
    <row r="16" spans="1:1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  <row r="21" spans="1:1">
      <c r="A21">
        <v>21</v>
      </c>
    </row>
    <row r="22" spans="1:1">
      <c r="A22">
        <v>22</v>
      </c>
    </row>
    <row r="23" spans="1:1">
      <c r="A23">
        <v>23</v>
      </c>
    </row>
    <row r="24" spans="1:1">
      <c r="A24">
        <v>24</v>
      </c>
    </row>
    <row r="25" spans="1:1">
      <c r="A25">
        <v>25</v>
      </c>
    </row>
    <row r="26" spans="1:1">
      <c r="A26">
        <v>26</v>
      </c>
    </row>
    <row r="27" spans="1:1">
      <c r="A27">
        <v>27</v>
      </c>
    </row>
    <row r="28" spans="1:1">
      <c r="A28">
        <v>28</v>
      </c>
    </row>
    <row r="29" spans="1:1">
      <c r="A29">
        <v>29</v>
      </c>
    </row>
    <row r="30" spans="1:1">
      <c r="A30">
        <v>30</v>
      </c>
    </row>
    <row r="31" spans="1:1">
      <c r="A31">
        <v>31</v>
      </c>
    </row>
    <row r="32" spans="1:1">
      <c r="A32">
        <v>32</v>
      </c>
    </row>
    <row r="33" spans="1:1">
      <c r="A33">
        <v>33</v>
      </c>
    </row>
    <row r="34" spans="1:1">
      <c r="A34">
        <v>34</v>
      </c>
    </row>
  </sheetData>
  <hyperlinks>
    <hyperlink ref="B2" location="户型指标表!A1" display="户型指标表"/>
    <hyperlink ref="B3" location="总图指标!A1" display="总图指标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A1" sqref="A1"/>
    </sheetView>
  </sheetViews>
  <sheetFormatPr defaultColWidth="9" defaultRowHeight="13.5"/>
  <cols>
    <col min="11" max="11" width="12.25" customWidth="1"/>
  </cols>
  <sheetData>
    <row r="1" spans="1:1">
      <c r="A1" s="17" t="s">
        <v>3</v>
      </c>
    </row>
    <row r="2" spans="1:7">
      <c r="A2" s="45" t="s">
        <v>1</v>
      </c>
      <c r="B2" s="45"/>
      <c r="C2" s="45"/>
      <c r="D2" s="45"/>
      <c r="E2" s="45"/>
      <c r="F2" s="45"/>
      <c r="G2" s="45"/>
    </row>
    <row r="3" spans="1:7">
      <c r="A3" s="45"/>
      <c r="B3" s="45"/>
      <c r="C3" s="45"/>
      <c r="D3" s="45"/>
      <c r="E3" s="45"/>
      <c r="F3" s="45"/>
      <c r="G3" s="45"/>
    </row>
    <row r="4" ht="14.25" spans="1:7">
      <c r="A4" s="21" t="s">
        <v>4</v>
      </c>
      <c r="B4" s="46"/>
      <c r="C4" s="46"/>
      <c r="D4" s="46"/>
      <c r="E4" s="46"/>
      <c r="F4" s="46"/>
      <c r="G4" s="46"/>
    </row>
    <row r="5" spans="1:11">
      <c r="A5" s="21" t="s">
        <v>5</v>
      </c>
      <c r="B5" s="21" t="s">
        <v>6</v>
      </c>
      <c r="C5" s="21" t="s">
        <v>7</v>
      </c>
      <c r="D5" s="21" t="s">
        <v>8</v>
      </c>
      <c r="E5" s="21" t="s">
        <v>9</v>
      </c>
      <c r="F5" s="21" t="s">
        <v>10</v>
      </c>
      <c r="G5" s="21" t="s">
        <v>11</v>
      </c>
      <c r="H5" s="47" t="s">
        <v>12</v>
      </c>
      <c r="I5" s="56" t="s">
        <v>13</v>
      </c>
      <c r="J5" s="56" t="s">
        <v>14</v>
      </c>
      <c r="K5" s="56" t="s">
        <v>15</v>
      </c>
    </row>
    <row r="6" ht="14.25" spans="1:11">
      <c r="A6" s="48" t="s">
        <v>16</v>
      </c>
      <c r="B6" s="22">
        <v>106.91</v>
      </c>
      <c r="C6" s="22">
        <f>13.05/2</f>
        <v>6.525</v>
      </c>
      <c r="D6" s="22">
        <f>$B$8/SUM($B$4:$C$7)*SUM(B6:C6)</f>
        <v>52.153679454076</v>
      </c>
      <c r="E6" s="49">
        <f t="shared" ref="E6:E9" si="0">D6/F6</f>
        <v>0.314959208721392</v>
      </c>
      <c r="F6" s="22">
        <f t="shared" ref="F6:F9" si="1">SUM(B6:D6)</f>
        <v>165.588679454076</v>
      </c>
      <c r="G6" s="50">
        <v>1</v>
      </c>
      <c r="H6" s="51">
        <f>F6*G6+F7*G7</f>
        <v>277.02</v>
      </c>
      <c r="I6" s="57">
        <v>4</v>
      </c>
      <c r="J6" s="57">
        <v>17</v>
      </c>
      <c r="K6" s="57">
        <f>H6*I6*J6</f>
        <v>18837.36</v>
      </c>
    </row>
    <row r="7" ht="14.25" spans="1:12">
      <c r="A7" s="46" t="s">
        <v>17</v>
      </c>
      <c r="B7" s="22">
        <v>69.45</v>
      </c>
      <c r="C7" s="22">
        <f>13.77/2</f>
        <v>6.885</v>
      </c>
      <c r="D7" s="22">
        <f>$B$8/SUM($B$4:$C$7)*SUM(B7:C7)</f>
        <v>35.096320545924</v>
      </c>
      <c r="E7" s="49">
        <f t="shared" si="0"/>
        <v>0.314959208721392</v>
      </c>
      <c r="F7" s="22">
        <f t="shared" si="1"/>
        <v>111.431320545924</v>
      </c>
      <c r="G7" s="50">
        <v>1</v>
      </c>
      <c r="H7" s="51"/>
      <c r="J7" s="57"/>
      <c r="K7" s="57"/>
      <c r="L7" s="57"/>
    </row>
    <row r="8" ht="14.25" spans="1:7">
      <c r="A8" s="46" t="s">
        <v>18</v>
      </c>
      <c r="B8" s="22">
        <v>87.25</v>
      </c>
      <c r="C8" s="22">
        <f>16.77/2</f>
        <v>8.385</v>
      </c>
      <c r="D8" s="22">
        <f>$B$8/SUM($B$4:$C$7)*SUM(B8:C8)</f>
        <v>43.9698253148548</v>
      </c>
      <c r="E8" s="49">
        <f t="shared" si="0"/>
        <v>0.314959208721392</v>
      </c>
      <c r="F8" s="22">
        <f t="shared" si="1"/>
        <v>139.604825314855</v>
      </c>
      <c r="G8" s="46">
        <v>1</v>
      </c>
    </row>
    <row r="9" ht="14.25" spans="1:7">
      <c r="A9" s="46" t="s">
        <v>19</v>
      </c>
      <c r="B9" s="22">
        <v>93.28</v>
      </c>
      <c r="C9" s="22">
        <f>13.95/2</f>
        <v>6.975</v>
      </c>
      <c r="D9" s="22">
        <f>$B$8/SUM($B$4:$C$7)*SUM(B9:C9)</f>
        <v>46.0939492543605</v>
      </c>
      <c r="E9" s="49">
        <f t="shared" si="0"/>
        <v>0.314959208721392</v>
      </c>
      <c r="F9" s="22">
        <f t="shared" si="1"/>
        <v>146.348949254361</v>
      </c>
      <c r="G9" s="46">
        <v>1</v>
      </c>
    </row>
    <row r="10" ht="14.25" spans="1:7">
      <c r="A10" s="52" t="s">
        <v>8</v>
      </c>
      <c r="B10" s="53">
        <f>93.78+13.8</f>
        <v>107.58</v>
      </c>
      <c r="C10" s="53"/>
      <c r="D10" s="53"/>
      <c r="E10" s="54" t="s">
        <v>12</v>
      </c>
      <c r="F10" s="55">
        <f>SUM(F6:F9)</f>
        <v>562.973774569215</v>
      </c>
      <c r="G10" s="53"/>
    </row>
  </sheetData>
  <mergeCells count="1">
    <mergeCell ref="A2:G3"/>
  </mergeCells>
  <hyperlinks>
    <hyperlink ref="A1" location="目录!A1" display="&lt;--返回目录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3"/>
  <sheetViews>
    <sheetView tabSelected="1" zoomScale="85" zoomScaleNormal="85" workbookViewId="0">
      <selection activeCell="K32" sqref="K32"/>
    </sheetView>
  </sheetViews>
  <sheetFormatPr defaultColWidth="9" defaultRowHeight="13.5"/>
  <cols>
    <col min="2" max="2" width="14" customWidth="1"/>
    <col min="4" max="4" width="17.125" customWidth="1"/>
    <col min="5" max="5" width="13.875" customWidth="1"/>
    <col min="13" max="13" width="13.2333333333333" customWidth="1"/>
    <col min="20" max="20" width="12.0583333333333" customWidth="1"/>
  </cols>
  <sheetData>
    <row r="1" spans="1:1">
      <c r="A1" s="17" t="s">
        <v>3</v>
      </c>
    </row>
    <row r="2" ht="25.5" spans="1:7">
      <c r="A2" s="18" t="s">
        <v>20</v>
      </c>
      <c r="B2" s="18"/>
      <c r="C2" s="18"/>
      <c r="D2" s="18"/>
      <c r="E2" s="18"/>
      <c r="F2" s="19"/>
      <c r="G2" s="20" t="s">
        <v>21</v>
      </c>
    </row>
    <row r="3" ht="14.25" spans="1:25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21"/>
      <c r="G3" s="4"/>
      <c r="H3" s="4" t="s">
        <v>27</v>
      </c>
      <c r="I3" s="4" t="s">
        <v>28</v>
      </c>
      <c r="J3" s="10" t="s">
        <v>29</v>
      </c>
      <c r="K3" s="10" t="s">
        <v>30</v>
      </c>
      <c r="L3" s="10" t="s">
        <v>31</v>
      </c>
      <c r="M3" s="10" t="s">
        <v>32</v>
      </c>
      <c r="N3" s="10" t="s">
        <v>33</v>
      </c>
      <c r="O3" s="10" t="s">
        <v>34</v>
      </c>
      <c r="P3" s="10" t="s">
        <v>35</v>
      </c>
      <c r="Q3" s="10" t="s">
        <v>36</v>
      </c>
      <c r="R3" s="10" t="s">
        <v>37</v>
      </c>
      <c r="S3" s="4" t="s">
        <v>38</v>
      </c>
      <c r="T3" s="10" t="s">
        <v>39</v>
      </c>
      <c r="U3" s="10" t="s">
        <v>40</v>
      </c>
      <c r="V3" s="4" t="s">
        <v>11</v>
      </c>
      <c r="W3" s="4" t="s">
        <v>41</v>
      </c>
      <c r="X3" s="40"/>
      <c r="Y3" s="40"/>
    </row>
    <row r="4" ht="16.5" spans="1:25">
      <c r="A4" s="4">
        <v>1</v>
      </c>
      <c r="B4" s="5" t="s">
        <v>42</v>
      </c>
      <c r="C4" s="4" t="s">
        <v>43</v>
      </c>
      <c r="D4" s="4">
        <v>120411</v>
      </c>
      <c r="E4" s="4"/>
      <c r="F4" s="22"/>
      <c r="G4" s="4" t="s">
        <v>44</v>
      </c>
      <c r="H4" s="10">
        <v>49.3</v>
      </c>
      <c r="I4" s="35">
        <v>548.32</v>
      </c>
      <c r="J4" s="24">
        <v>8033.07</v>
      </c>
      <c r="K4" s="24"/>
      <c r="L4" s="10"/>
      <c r="M4" s="36"/>
      <c r="N4" s="10"/>
      <c r="O4" s="10"/>
      <c r="P4" s="24"/>
      <c r="Q4" s="10"/>
      <c r="R4" s="24">
        <v>50.26</v>
      </c>
      <c r="S4" s="24">
        <v>41.6</v>
      </c>
      <c r="T4" s="24">
        <v>8033.07</v>
      </c>
      <c r="U4" s="24">
        <v>8124.93</v>
      </c>
      <c r="V4" s="41">
        <v>67</v>
      </c>
      <c r="W4" s="24">
        <v>17</v>
      </c>
      <c r="X4" s="40"/>
      <c r="Y4" s="40">
        <f t="shared" ref="Y4:Y24" si="0">SUM(J4:S4)</f>
        <v>8124.93</v>
      </c>
    </row>
    <row r="5" ht="16.5" spans="1:25">
      <c r="A5" s="4">
        <v>2</v>
      </c>
      <c r="B5" s="5" t="s">
        <v>45</v>
      </c>
      <c r="C5" s="4" t="s">
        <v>43</v>
      </c>
      <c r="D5" s="4">
        <v>98382</v>
      </c>
      <c r="E5" s="4"/>
      <c r="F5" s="22"/>
      <c r="G5" s="4" t="s">
        <v>46</v>
      </c>
      <c r="H5" s="4">
        <v>78.3</v>
      </c>
      <c r="I5" s="35">
        <v>578.7</v>
      </c>
      <c r="J5" s="24">
        <v>13397.11</v>
      </c>
      <c r="K5" s="24"/>
      <c r="L5" s="4"/>
      <c r="M5" s="12"/>
      <c r="N5" s="4"/>
      <c r="O5" s="4"/>
      <c r="P5" s="24"/>
      <c r="Q5" s="4"/>
      <c r="R5" s="24">
        <v>0</v>
      </c>
      <c r="S5" s="24">
        <v>58.58</v>
      </c>
      <c r="T5" s="24">
        <v>13397.11</v>
      </c>
      <c r="U5" s="24">
        <v>13455.69</v>
      </c>
      <c r="V5" s="42">
        <v>108</v>
      </c>
      <c r="W5" s="24">
        <v>27</v>
      </c>
      <c r="X5" s="40"/>
      <c r="Y5" s="40">
        <f t="shared" si="0"/>
        <v>13455.69</v>
      </c>
    </row>
    <row r="6" ht="16.5" spans="1:25">
      <c r="A6" s="4">
        <v>3</v>
      </c>
      <c r="B6" s="5" t="s">
        <v>12</v>
      </c>
      <c r="C6" s="4" t="s">
        <v>43</v>
      </c>
      <c r="D6" s="4">
        <f>[1]分栋指标!O23+D14</f>
        <v>328325.57</v>
      </c>
      <c r="E6" s="4"/>
      <c r="F6" s="23"/>
      <c r="G6" s="4" t="s">
        <v>47</v>
      </c>
      <c r="H6" s="4">
        <v>77.3</v>
      </c>
      <c r="I6" s="37">
        <v>2801.56</v>
      </c>
      <c r="J6" s="24">
        <v>12492.52</v>
      </c>
      <c r="K6" s="24">
        <v>459.49</v>
      </c>
      <c r="L6" s="4"/>
      <c r="M6" s="12"/>
      <c r="N6" s="4"/>
      <c r="O6" s="4"/>
      <c r="P6" s="24"/>
      <c r="Q6" s="4"/>
      <c r="R6" s="24">
        <v>255.75</v>
      </c>
      <c r="S6" s="24">
        <v>58.58</v>
      </c>
      <c r="T6" s="24">
        <v>12952.01</v>
      </c>
      <c r="U6" s="24">
        <v>13266.34</v>
      </c>
      <c r="V6" s="42">
        <v>100</v>
      </c>
      <c r="W6" s="10" t="s">
        <v>48</v>
      </c>
      <c r="X6" s="40"/>
      <c r="Y6" s="40">
        <f t="shared" si="0"/>
        <v>13266.34</v>
      </c>
    </row>
    <row r="7" ht="16.5" spans="1:25">
      <c r="A7" s="4" t="s">
        <v>49</v>
      </c>
      <c r="B7" s="5" t="s">
        <v>50</v>
      </c>
      <c r="C7" s="4" t="s">
        <v>43</v>
      </c>
      <c r="D7" s="4">
        <f>[1]分栋指标!D23</f>
        <v>213353.99</v>
      </c>
      <c r="E7" s="7">
        <f>[1]分栋指标!P23</f>
        <v>1719</v>
      </c>
      <c r="G7" s="4" t="s">
        <v>51</v>
      </c>
      <c r="H7" s="4">
        <v>77.3</v>
      </c>
      <c r="I7" s="37"/>
      <c r="J7" s="24">
        <v>12492.52</v>
      </c>
      <c r="K7" s="24">
        <v>516.24</v>
      </c>
      <c r="L7" s="4"/>
      <c r="M7" s="12"/>
      <c r="N7" s="4"/>
      <c r="O7" s="4"/>
      <c r="P7" s="24"/>
      <c r="Q7" s="4"/>
      <c r="R7" s="24">
        <v>255.75</v>
      </c>
      <c r="S7" s="24">
        <v>58.58</v>
      </c>
      <c r="T7" s="24">
        <v>13008.76</v>
      </c>
      <c r="U7" s="24">
        <v>13323.09</v>
      </c>
      <c r="V7" s="42">
        <v>100</v>
      </c>
      <c r="W7" s="10" t="s">
        <v>48</v>
      </c>
      <c r="X7" s="40"/>
      <c r="Y7" s="40">
        <f t="shared" si="0"/>
        <v>13323.09</v>
      </c>
    </row>
    <row r="8" ht="16.5" spans="1:25">
      <c r="A8" s="4"/>
      <c r="B8" s="5" t="s">
        <v>52</v>
      </c>
      <c r="C8" s="4" t="s">
        <v>43</v>
      </c>
      <c r="D8" s="4">
        <f>[1]分栋指标!E23</f>
        <v>30407.87</v>
      </c>
      <c r="E8" s="4"/>
      <c r="G8" s="4" t="s">
        <v>53</v>
      </c>
      <c r="H8" s="4">
        <v>77.3</v>
      </c>
      <c r="I8" s="37"/>
      <c r="J8" s="24">
        <v>12492.52</v>
      </c>
      <c r="K8" s="24">
        <v>527.41</v>
      </c>
      <c r="L8" s="4"/>
      <c r="M8" s="12"/>
      <c r="N8" s="4"/>
      <c r="O8" s="4"/>
      <c r="P8" s="24"/>
      <c r="Q8" s="4"/>
      <c r="R8" s="24">
        <v>255.75</v>
      </c>
      <c r="S8" s="24">
        <v>58.58</v>
      </c>
      <c r="T8" s="24">
        <v>13019.93</v>
      </c>
      <c r="U8" s="24">
        <v>13334.26</v>
      </c>
      <c r="V8" s="42">
        <v>100</v>
      </c>
      <c r="W8" s="10" t="s">
        <v>48</v>
      </c>
      <c r="X8" s="40"/>
      <c r="Y8" s="40">
        <f t="shared" si="0"/>
        <v>13334.26</v>
      </c>
    </row>
    <row r="9" ht="16.5" spans="1:25">
      <c r="A9" s="4"/>
      <c r="B9" s="9" t="s">
        <v>32</v>
      </c>
      <c r="C9" s="4" t="s">
        <v>43</v>
      </c>
      <c r="D9" s="4">
        <f>[1]分栋指标!G23</f>
        <v>12254.64</v>
      </c>
      <c r="E9" s="4"/>
      <c r="G9" s="4" t="s">
        <v>54</v>
      </c>
      <c r="H9" s="24">
        <v>78.6</v>
      </c>
      <c r="I9" s="37">
        <v>3135.22</v>
      </c>
      <c r="J9" s="24">
        <v>12053.13</v>
      </c>
      <c r="K9" s="24">
        <v>1687.15</v>
      </c>
      <c r="L9" s="4"/>
      <c r="M9" s="12"/>
      <c r="N9" s="4"/>
      <c r="O9" s="24">
        <v>43.24</v>
      </c>
      <c r="P9" s="24">
        <v>754.98</v>
      </c>
      <c r="Q9" s="4"/>
      <c r="R9" s="24">
        <v>142.68</v>
      </c>
      <c r="S9" s="24">
        <v>58.58</v>
      </c>
      <c r="T9" s="24">
        <v>13740.28</v>
      </c>
      <c r="U9" s="24">
        <v>14739.76</v>
      </c>
      <c r="V9" s="42">
        <v>96</v>
      </c>
      <c r="W9" s="24" t="s">
        <v>55</v>
      </c>
      <c r="X9" s="40"/>
      <c r="Y9" s="40">
        <f t="shared" si="0"/>
        <v>14739.76</v>
      </c>
    </row>
    <row r="10" ht="16.5" spans="1:25">
      <c r="A10" s="4"/>
      <c r="B10" s="9" t="s">
        <v>31</v>
      </c>
      <c r="C10" s="4" t="s">
        <v>43</v>
      </c>
      <c r="D10" s="4">
        <f>[1]分栋指标!F23</f>
        <v>7139.52</v>
      </c>
      <c r="E10" s="4"/>
      <c r="G10" s="4" t="s">
        <v>56</v>
      </c>
      <c r="H10" s="4">
        <v>78.6</v>
      </c>
      <c r="I10" s="37"/>
      <c r="J10" s="24">
        <v>12053.13</v>
      </c>
      <c r="K10" s="24">
        <v>2017.19</v>
      </c>
      <c r="L10" s="4"/>
      <c r="M10" s="12"/>
      <c r="N10" s="4"/>
      <c r="O10" s="4"/>
      <c r="P10" s="24">
        <v>798.22</v>
      </c>
      <c r="Q10" s="4"/>
      <c r="R10" s="24">
        <v>0</v>
      </c>
      <c r="S10" s="24">
        <v>58.58</v>
      </c>
      <c r="T10" s="24">
        <v>14070.32</v>
      </c>
      <c r="U10" s="24">
        <v>14927.12</v>
      </c>
      <c r="V10" s="42">
        <v>96</v>
      </c>
      <c r="W10" s="24" t="s">
        <v>55</v>
      </c>
      <c r="X10" s="40"/>
      <c r="Y10" s="40">
        <f t="shared" si="0"/>
        <v>14927.12</v>
      </c>
    </row>
    <row r="11" ht="16.5" spans="1:25">
      <c r="A11" s="4"/>
      <c r="B11" s="5" t="s">
        <v>33</v>
      </c>
      <c r="C11" s="4" t="s">
        <v>43</v>
      </c>
      <c r="D11" s="4">
        <f>[1]分栋指标!H23</f>
        <v>4288.56</v>
      </c>
      <c r="E11" s="10" t="s">
        <v>57</v>
      </c>
      <c r="G11" s="25" t="s">
        <v>58</v>
      </c>
      <c r="H11" s="25">
        <v>79.3</v>
      </c>
      <c r="I11" s="25">
        <v>567.7</v>
      </c>
      <c r="J11" s="25">
        <v>12919.38</v>
      </c>
      <c r="K11" s="25"/>
      <c r="L11" s="25"/>
      <c r="M11" s="38"/>
      <c r="N11" s="25"/>
      <c r="O11" s="25"/>
      <c r="P11" s="25"/>
      <c r="Q11" s="25"/>
      <c r="R11" s="25">
        <v>488.42</v>
      </c>
      <c r="S11" s="25">
        <v>59.74</v>
      </c>
      <c r="T11" s="25">
        <v>12919.38</v>
      </c>
      <c r="U11" s="25">
        <v>13467.54</v>
      </c>
      <c r="V11" s="25">
        <v>104</v>
      </c>
      <c r="W11" s="43" t="s">
        <v>48</v>
      </c>
      <c r="X11" s="44"/>
      <c r="Y11" s="44">
        <f t="shared" si="0"/>
        <v>13467.54</v>
      </c>
    </row>
    <row r="12" ht="16.5" spans="1:25">
      <c r="A12" s="4"/>
      <c r="B12" s="9" t="s">
        <v>59</v>
      </c>
      <c r="C12" s="4" t="s">
        <v>43</v>
      </c>
      <c r="D12" s="4">
        <f>[1]分栋指标!J23</f>
        <v>1553.2</v>
      </c>
      <c r="E12" s="4"/>
      <c r="G12" s="4" t="s">
        <v>60</v>
      </c>
      <c r="H12" s="4">
        <v>79.3</v>
      </c>
      <c r="I12" s="4">
        <v>567.7</v>
      </c>
      <c r="J12" s="4">
        <v>12919.38</v>
      </c>
      <c r="K12" s="4"/>
      <c r="L12" s="4"/>
      <c r="M12" s="12"/>
      <c r="N12" s="4"/>
      <c r="O12" s="4"/>
      <c r="P12" s="4"/>
      <c r="Q12" s="4"/>
      <c r="R12" s="4">
        <v>488.42</v>
      </c>
      <c r="S12" s="4">
        <v>59.74</v>
      </c>
      <c r="T12" s="4">
        <v>12919.38</v>
      </c>
      <c r="U12" s="4">
        <v>13467.54</v>
      </c>
      <c r="V12" s="4">
        <v>104</v>
      </c>
      <c r="W12" s="10" t="s">
        <v>48</v>
      </c>
      <c r="X12" s="40"/>
      <c r="Y12" s="40">
        <f t="shared" si="0"/>
        <v>13467.54</v>
      </c>
    </row>
    <row r="13" ht="16.5" spans="1:25">
      <c r="A13" s="4"/>
      <c r="B13" s="9" t="s">
        <v>36</v>
      </c>
      <c r="C13" s="4" t="s">
        <v>43</v>
      </c>
      <c r="D13" s="4">
        <f>[1]分栋指标!K23</f>
        <v>0</v>
      </c>
      <c r="E13" s="4"/>
      <c r="G13" s="4" t="s">
        <v>61</v>
      </c>
      <c r="H13" s="4">
        <v>79.3</v>
      </c>
      <c r="I13" s="4">
        <v>567.7</v>
      </c>
      <c r="J13" s="4">
        <v>12919.38</v>
      </c>
      <c r="K13" s="4"/>
      <c r="L13" s="4"/>
      <c r="M13" s="12"/>
      <c r="N13" s="4"/>
      <c r="O13" s="4"/>
      <c r="P13" s="4"/>
      <c r="Q13" s="4"/>
      <c r="R13" s="4">
        <v>488.42</v>
      </c>
      <c r="S13" s="4">
        <v>59.74</v>
      </c>
      <c r="T13" s="4">
        <v>12919.38</v>
      </c>
      <c r="U13" s="4">
        <v>13467.54</v>
      </c>
      <c r="V13" s="4">
        <v>104</v>
      </c>
      <c r="W13" s="10" t="s">
        <v>48</v>
      </c>
      <c r="X13" s="40"/>
      <c r="Y13" s="40">
        <f t="shared" si="0"/>
        <v>13467.54</v>
      </c>
    </row>
    <row r="14" ht="16.5" spans="1:25">
      <c r="A14" s="4"/>
      <c r="B14" s="9" t="s">
        <v>62</v>
      </c>
      <c r="C14" s="4" t="s">
        <v>43</v>
      </c>
      <c r="D14" s="4">
        <v>54318.76</v>
      </c>
      <c r="E14" s="4" t="s">
        <v>63</v>
      </c>
      <c r="G14" s="4" t="s">
        <v>64</v>
      </c>
      <c r="H14" s="4">
        <v>79.3</v>
      </c>
      <c r="I14" s="4">
        <v>567.7</v>
      </c>
      <c r="J14" s="4">
        <v>12919.38</v>
      </c>
      <c r="K14" s="4"/>
      <c r="L14" s="4"/>
      <c r="M14" s="12"/>
      <c r="N14" s="4"/>
      <c r="O14" s="4"/>
      <c r="P14" s="4"/>
      <c r="Q14" s="4"/>
      <c r="R14" s="4">
        <v>488.42</v>
      </c>
      <c r="S14" s="4">
        <v>59.74</v>
      </c>
      <c r="T14" s="4">
        <v>12919.38</v>
      </c>
      <c r="U14" s="4">
        <v>13467.54</v>
      </c>
      <c r="V14" s="4">
        <v>104</v>
      </c>
      <c r="W14" s="10" t="s">
        <v>48</v>
      </c>
      <c r="X14" s="40"/>
      <c r="Y14" s="40">
        <f t="shared" si="0"/>
        <v>13467.54</v>
      </c>
    </row>
    <row r="15" ht="16.5" spans="1:25">
      <c r="A15" s="4"/>
      <c r="B15" s="9" t="s">
        <v>37</v>
      </c>
      <c r="C15" s="4" t="s">
        <v>43</v>
      </c>
      <c r="D15" s="4">
        <f>[1]分栋指标!L23</f>
        <v>3402.29</v>
      </c>
      <c r="E15" s="4" t="s">
        <v>63</v>
      </c>
      <c r="G15" s="25" t="s">
        <v>65</v>
      </c>
      <c r="H15" s="25">
        <v>79.3</v>
      </c>
      <c r="I15" s="25">
        <v>567.7</v>
      </c>
      <c r="J15" s="25">
        <v>12919.38</v>
      </c>
      <c r="K15" s="25"/>
      <c r="L15" s="25"/>
      <c r="M15" s="38"/>
      <c r="N15" s="25"/>
      <c r="O15" s="25"/>
      <c r="P15" s="25"/>
      <c r="Q15" s="25"/>
      <c r="R15" s="25">
        <v>488.42</v>
      </c>
      <c r="S15" s="25">
        <v>59.74</v>
      </c>
      <c r="T15" s="25">
        <v>12919.38</v>
      </c>
      <c r="U15" s="25">
        <v>13467.54</v>
      </c>
      <c r="V15" s="25">
        <v>104</v>
      </c>
      <c r="W15" s="43" t="s">
        <v>48</v>
      </c>
      <c r="X15" s="44"/>
      <c r="Y15" s="44">
        <f t="shared" si="0"/>
        <v>13467.54</v>
      </c>
    </row>
    <row r="16" ht="16.5" spans="1:25">
      <c r="A16" s="4"/>
      <c r="B16" s="5" t="s">
        <v>38</v>
      </c>
      <c r="C16" s="4" t="s">
        <v>43</v>
      </c>
      <c r="D16" s="4">
        <f>[1]分栋指标!M23</f>
        <v>1563.5</v>
      </c>
      <c r="E16" s="4" t="s">
        <v>63</v>
      </c>
      <c r="G16" s="4" t="s">
        <v>66</v>
      </c>
      <c r="H16" s="4">
        <v>49.6</v>
      </c>
      <c r="I16" s="35">
        <v>1635.97</v>
      </c>
      <c r="J16" s="24">
        <v>6767.34</v>
      </c>
      <c r="K16" s="24">
        <v>3074.9</v>
      </c>
      <c r="L16" s="4"/>
      <c r="M16" s="12"/>
      <c r="N16" s="4"/>
      <c r="O16" s="4"/>
      <c r="P16" s="4"/>
      <c r="Q16" s="4"/>
      <c r="R16" s="4"/>
      <c r="S16" s="24">
        <v>41.6</v>
      </c>
      <c r="T16" s="24">
        <v>9842.24</v>
      </c>
      <c r="U16" s="24">
        <v>9883.84</v>
      </c>
      <c r="V16" s="42">
        <v>56</v>
      </c>
      <c r="W16" s="24" t="s">
        <v>67</v>
      </c>
      <c r="X16" s="40"/>
      <c r="Y16" s="40">
        <f t="shared" si="0"/>
        <v>9883.84</v>
      </c>
    </row>
    <row r="17" ht="16.5" spans="1:25">
      <c r="A17" s="4">
        <v>4</v>
      </c>
      <c r="B17" s="5" t="s">
        <v>68</v>
      </c>
      <c r="C17" s="4" t="s">
        <v>43</v>
      </c>
      <c r="D17" s="4">
        <f>[1]分栋指标!N23</f>
        <v>267444.58</v>
      </c>
      <c r="E17" s="4"/>
      <c r="G17" s="4" t="s">
        <v>69</v>
      </c>
      <c r="H17" s="4">
        <v>49.3</v>
      </c>
      <c r="I17" s="35">
        <v>1331.04</v>
      </c>
      <c r="J17" s="24">
        <v>8083.33</v>
      </c>
      <c r="K17" s="24">
        <v>1565.45</v>
      </c>
      <c r="L17" s="4"/>
      <c r="M17" s="12"/>
      <c r="N17" s="4"/>
      <c r="O17" s="4"/>
      <c r="P17" s="4"/>
      <c r="Q17" s="4"/>
      <c r="R17" s="4"/>
      <c r="S17" s="24">
        <v>41.6</v>
      </c>
      <c r="T17" s="24">
        <v>9648.78</v>
      </c>
      <c r="U17" s="24">
        <v>9690.38</v>
      </c>
      <c r="V17" s="42">
        <v>68</v>
      </c>
      <c r="W17" s="24">
        <v>17</v>
      </c>
      <c r="X17" s="40"/>
      <c r="Y17" s="40">
        <f t="shared" si="0"/>
        <v>9690.38</v>
      </c>
    </row>
    <row r="18" ht="16.5" spans="1:25">
      <c r="A18" s="4">
        <v>5</v>
      </c>
      <c r="B18" s="5" t="s">
        <v>70</v>
      </c>
      <c r="C18" s="4" t="s">
        <v>43</v>
      </c>
      <c r="D18" s="4">
        <f>[1]分栋指标!C23</f>
        <v>22239.81</v>
      </c>
      <c r="E18" s="4"/>
      <c r="G18" s="4" t="s">
        <v>71</v>
      </c>
      <c r="H18" s="4">
        <v>78.3</v>
      </c>
      <c r="I18" s="35">
        <v>578.7</v>
      </c>
      <c r="J18" s="24">
        <v>13397.11</v>
      </c>
      <c r="K18" s="24">
        <v>0</v>
      </c>
      <c r="L18" s="4"/>
      <c r="M18" s="12"/>
      <c r="N18" s="4"/>
      <c r="O18" s="4"/>
      <c r="P18" s="4"/>
      <c r="Q18" s="4"/>
      <c r="R18" s="4"/>
      <c r="S18" s="24">
        <v>58.58</v>
      </c>
      <c r="T18" s="24">
        <v>13397.11</v>
      </c>
      <c r="U18" s="24">
        <v>13455.69</v>
      </c>
      <c r="V18" s="42">
        <v>108</v>
      </c>
      <c r="W18" s="24">
        <v>27</v>
      </c>
      <c r="X18" s="40"/>
      <c r="Y18" s="40">
        <f t="shared" si="0"/>
        <v>13455.69</v>
      </c>
    </row>
    <row r="19" ht="16.5" spans="1:25">
      <c r="A19" s="4">
        <v>6</v>
      </c>
      <c r="B19" s="5" t="s">
        <v>72</v>
      </c>
      <c r="C19" s="4" t="s">
        <v>43</v>
      </c>
      <c r="D19" s="12">
        <f>D5*0.31</f>
        <v>30498.42</v>
      </c>
      <c r="E19" s="4"/>
      <c r="G19" s="4" t="s">
        <v>73</v>
      </c>
      <c r="H19" s="4">
        <v>78.3</v>
      </c>
      <c r="I19" s="35">
        <v>578.7</v>
      </c>
      <c r="J19" s="24">
        <v>13397.11</v>
      </c>
      <c r="K19" s="24">
        <v>0</v>
      </c>
      <c r="L19" s="4"/>
      <c r="M19" s="12"/>
      <c r="N19" s="4"/>
      <c r="O19" s="4"/>
      <c r="P19" s="4"/>
      <c r="Q19" s="4"/>
      <c r="R19" s="4"/>
      <c r="S19" s="24">
        <v>58.58</v>
      </c>
      <c r="T19" s="24">
        <v>13397.11</v>
      </c>
      <c r="U19" s="24">
        <v>13455.69</v>
      </c>
      <c r="V19" s="42">
        <v>108</v>
      </c>
      <c r="W19" s="24">
        <v>27</v>
      </c>
      <c r="X19" s="40"/>
      <c r="Y19" s="40">
        <f t="shared" si="0"/>
        <v>13455.69</v>
      </c>
    </row>
    <row r="20" ht="14.25" spans="1:25">
      <c r="A20" s="4">
        <v>7</v>
      </c>
      <c r="B20" s="5" t="s">
        <v>74</v>
      </c>
      <c r="C20" s="4" t="s">
        <v>75</v>
      </c>
      <c r="D20" s="13">
        <f>[1]分栋指标!C23/D5</f>
        <v>0.226055680917241</v>
      </c>
      <c r="E20" s="4"/>
      <c r="G20" s="4" t="s">
        <v>76</v>
      </c>
      <c r="H20" s="26">
        <v>78.6</v>
      </c>
      <c r="I20" s="37">
        <v>1546.63</v>
      </c>
      <c r="J20" s="24">
        <v>12049.1</v>
      </c>
      <c r="K20" s="24">
        <v>1320.78</v>
      </c>
      <c r="L20" s="4"/>
      <c r="M20" s="12"/>
      <c r="N20" s="4"/>
      <c r="O20" s="4"/>
      <c r="P20" s="4"/>
      <c r="Q20" s="4"/>
      <c r="R20" s="4"/>
      <c r="S20" s="24">
        <v>58.58</v>
      </c>
      <c r="T20" s="24">
        <v>13369.88</v>
      </c>
      <c r="U20" s="24">
        <v>13428.46</v>
      </c>
      <c r="V20" s="42">
        <v>96</v>
      </c>
      <c r="W20" s="24" t="s">
        <v>55</v>
      </c>
      <c r="X20" s="40"/>
      <c r="Y20" s="40">
        <f t="shared" si="0"/>
        <v>13428.46</v>
      </c>
    </row>
    <row r="21" ht="14.25" spans="1:25">
      <c r="A21" s="4">
        <v>8</v>
      </c>
      <c r="B21" s="5" t="s">
        <v>77</v>
      </c>
      <c r="C21" s="4"/>
      <c r="D21" s="12">
        <f>D17/D5</f>
        <v>2.71842999735724</v>
      </c>
      <c r="E21" s="4"/>
      <c r="G21" s="4" t="s">
        <v>78</v>
      </c>
      <c r="H21" s="26">
        <v>78.6</v>
      </c>
      <c r="I21" s="37"/>
      <c r="J21" s="24">
        <v>12049.1</v>
      </c>
      <c r="K21" s="24">
        <v>1329.44</v>
      </c>
      <c r="L21" s="4"/>
      <c r="M21" s="12"/>
      <c r="N21" s="4"/>
      <c r="O21" s="4"/>
      <c r="P21" s="4"/>
      <c r="Q21" s="4"/>
      <c r="R21" s="4"/>
      <c r="S21" s="24">
        <v>58.58</v>
      </c>
      <c r="T21" s="24">
        <v>13378.54</v>
      </c>
      <c r="U21" s="24">
        <v>13437.12</v>
      </c>
      <c r="V21" s="42">
        <v>96</v>
      </c>
      <c r="W21" s="24" t="s">
        <v>55</v>
      </c>
      <c r="X21" s="40"/>
      <c r="Y21" s="40">
        <f t="shared" si="0"/>
        <v>13437.12</v>
      </c>
    </row>
    <row r="22" ht="14.25" spans="1:25">
      <c r="A22" s="4">
        <v>9</v>
      </c>
      <c r="B22" s="5" t="s">
        <v>79</v>
      </c>
      <c r="C22" s="4" t="s">
        <v>75</v>
      </c>
      <c r="D22" s="13">
        <f>D19/D5</f>
        <v>0.31</v>
      </c>
      <c r="E22" s="4"/>
      <c r="G22" s="4" t="s">
        <v>80</v>
      </c>
      <c r="H22" s="4">
        <v>44.7</v>
      </c>
      <c r="I22" s="4">
        <v>2415.22</v>
      </c>
      <c r="J22" s="4"/>
      <c r="K22" s="4">
        <f>1371.06*6+21.15</f>
        <v>8247.51</v>
      </c>
      <c r="L22" s="4"/>
      <c r="M22" s="36">
        <f>1021.22*12</f>
        <v>12254.64</v>
      </c>
      <c r="N22" s="4"/>
      <c r="O22" s="4"/>
      <c r="P22" s="4"/>
      <c r="Q22" s="4"/>
      <c r="R22" s="4"/>
      <c r="S22" s="4">
        <f>158.57+129.9</f>
        <v>288.47</v>
      </c>
      <c r="T22" s="12">
        <f>K22+M22</f>
        <v>20502.15</v>
      </c>
      <c r="U22" s="4">
        <v>20790.62</v>
      </c>
      <c r="V22" s="4"/>
      <c r="W22" s="4">
        <v>12</v>
      </c>
      <c r="X22" s="40"/>
      <c r="Y22" s="40">
        <f t="shared" si="0"/>
        <v>20790.62</v>
      </c>
    </row>
    <row r="23" ht="14.25" spans="1:25">
      <c r="A23" s="4">
        <v>10</v>
      </c>
      <c r="B23" s="5" t="s">
        <v>81</v>
      </c>
      <c r="C23" s="4" t="s">
        <v>75</v>
      </c>
      <c r="D23" s="13">
        <v>0.15</v>
      </c>
      <c r="E23" s="4"/>
      <c r="G23" s="4" t="s">
        <v>82</v>
      </c>
      <c r="H23" s="4">
        <v>33.9</v>
      </c>
      <c r="I23" s="4">
        <v>2424.41</v>
      </c>
      <c r="J23" s="4"/>
      <c r="K23" s="4">
        <f>1606.86*6+21.15</f>
        <v>9662.31</v>
      </c>
      <c r="L23" s="4">
        <f>793.28*9</f>
        <v>7139.52</v>
      </c>
      <c r="M23" s="12"/>
      <c r="N23" s="4"/>
      <c r="O23" s="4"/>
      <c r="P23" s="4"/>
      <c r="Q23" s="4"/>
      <c r="R23" s="4"/>
      <c r="S23" s="4">
        <f>105.69+160.04</f>
        <v>265.73</v>
      </c>
      <c r="T23" s="4">
        <f>K23+L23</f>
        <v>16801.83</v>
      </c>
      <c r="U23" s="4">
        <f>K23+L23+S23</f>
        <v>17067.56</v>
      </c>
      <c r="V23" s="4"/>
      <c r="W23" s="4">
        <v>9</v>
      </c>
      <c r="X23" s="40"/>
      <c r="Y23" s="40">
        <f t="shared" si="0"/>
        <v>17067.56</v>
      </c>
    </row>
    <row r="24" ht="14.25" spans="1:25">
      <c r="A24" s="4">
        <v>11</v>
      </c>
      <c r="B24" s="5" t="s">
        <v>83</v>
      </c>
      <c r="C24" s="4" t="s">
        <v>84</v>
      </c>
      <c r="D24" s="4">
        <f>D25+D26</f>
        <v>2044</v>
      </c>
      <c r="E24" s="4"/>
      <c r="G24" s="10" t="s">
        <v>85</v>
      </c>
      <c r="H24" s="4">
        <v>11.7</v>
      </c>
      <c r="I24" s="4">
        <v>1826.84</v>
      </c>
      <c r="J24" s="4"/>
      <c r="K24" s="4"/>
      <c r="L24" s="4"/>
      <c r="M24" s="12"/>
      <c r="N24" s="39">
        <v>4288.56</v>
      </c>
      <c r="O24" s="4"/>
      <c r="P24" s="4"/>
      <c r="Q24" s="4"/>
      <c r="R24" s="4"/>
      <c r="S24" s="4"/>
      <c r="T24" s="4">
        <f>N24</f>
        <v>4288.56</v>
      </c>
      <c r="U24" s="4">
        <f>N24</f>
        <v>4288.56</v>
      </c>
      <c r="V24" s="4"/>
      <c r="W24" s="4">
        <v>3</v>
      </c>
      <c r="X24" s="40"/>
      <c r="Y24" s="40">
        <f t="shared" si="0"/>
        <v>4288.56</v>
      </c>
    </row>
    <row r="25" ht="14.25" spans="1:25">
      <c r="A25" s="4" t="s">
        <v>49</v>
      </c>
      <c r="B25" s="5" t="s">
        <v>86</v>
      </c>
      <c r="C25" s="4" t="s">
        <v>84</v>
      </c>
      <c r="D25" s="4">
        <v>377</v>
      </c>
      <c r="E25" s="4"/>
      <c r="G25" s="4" t="s">
        <v>87</v>
      </c>
      <c r="H25" s="4"/>
      <c r="I25" s="4">
        <f t="shared" ref="I25:L25" si="1">SUM(I4:I24)</f>
        <v>22239.81</v>
      </c>
      <c r="J25" s="4">
        <f t="shared" si="1"/>
        <v>213353.99</v>
      </c>
      <c r="K25" s="4">
        <f>SUM(K4:K23)</f>
        <v>30407.87</v>
      </c>
      <c r="L25" s="4">
        <f t="shared" si="1"/>
        <v>7139.52</v>
      </c>
      <c r="M25" s="4">
        <f>SUM(M4:M23)</f>
        <v>12254.64</v>
      </c>
      <c r="N25" s="4">
        <f t="shared" ref="N25:V25" si="2">SUM(N4:N24)</f>
        <v>4288.56</v>
      </c>
      <c r="O25" s="4">
        <f t="shared" si="2"/>
        <v>43.24</v>
      </c>
      <c r="P25" s="4">
        <f t="shared" si="2"/>
        <v>1553.2</v>
      </c>
      <c r="Q25" s="4">
        <f t="shared" si="2"/>
        <v>0</v>
      </c>
      <c r="R25" s="4">
        <f t="shared" si="2"/>
        <v>3402.29</v>
      </c>
      <c r="S25" s="4">
        <f t="shared" si="2"/>
        <v>1563.5</v>
      </c>
      <c r="T25" s="4">
        <f t="shared" si="2"/>
        <v>267444.58</v>
      </c>
      <c r="U25" s="4">
        <f t="shared" si="2"/>
        <v>274006.81</v>
      </c>
      <c r="V25" s="4">
        <f t="shared" si="2"/>
        <v>1719</v>
      </c>
      <c r="W25" s="4"/>
      <c r="X25" s="40"/>
      <c r="Y25" s="40"/>
    </row>
    <row r="26" ht="14.25" spans="1:5">
      <c r="A26" s="4"/>
      <c r="B26" s="5" t="s">
        <v>88</v>
      </c>
      <c r="C26" s="4" t="s">
        <v>84</v>
      </c>
      <c r="D26" s="4">
        <v>1667</v>
      </c>
      <c r="E26" s="4"/>
    </row>
    <row r="27" ht="30" customHeight="1" spans="1:5">
      <c r="A27" s="27" t="s">
        <v>89</v>
      </c>
      <c r="B27" s="27"/>
      <c r="C27" s="27"/>
      <c r="D27" s="27"/>
      <c r="E27" s="27"/>
    </row>
    <row r="28" ht="32" customHeight="1" spans="1:5">
      <c r="A28" s="28" t="s">
        <v>90</v>
      </c>
      <c r="B28" s="29"/>
      <c r="C28" s="29"/>
      <c r="D28" s="29"/>
      <c r="E28" s="29"/>
    </row>
    <row r="29" ht="30" customHeight="1" spans="1:5">
      <c r="A29" s="29" t="s">
        <v>91</v>
      </c>
      <c r="B29" s="29"/>
      <c r="C29" s="29"/>
      <c r="D29" s="29"/>
      <c r="E29" s="29"/>
    </row>
    <row r="30" ht="54" customHeight="1" spans="1:5">
      <c r="A30" s="28" t="s">
        <v>92</v>
      </c>
      <c r="B30" s="28"/>
      <c r="C30" s="28"/>
      <c r="D30" s="28"/>
      <c r="E30" s="28"/>
    </row>
    <row r="33" ht="25.5" spans="1:4">
      <c r="A33" s="30" t="s">
        <v>93</v>
      </c>
      <c r="B33" s="31"/>
      <c r="C33" s="31"/>
      <c r="D33" s="31"/>
    </row>
    <row r="34" ht="14.25" spans="1:4">
      <c r="A34" s="32" t="s">
        <v>94</v>
      </c>
      <c r="B34" s="32" t="s">
        <v>95</v>
      </c>
      <c r="C34" s="32" t="s">
        <v>96</v>
      </c>
      <c r="D34" s="32" t="s">
        <v>97</v>
      </c>
    </row>
    <row r="35" ht="14.25" spans="1:4">
      <c r="A35" s="32" t="s">
        <v>98</v>
      </c>
      <c r="B35" s="33">
        <v>86914.2</v>
      </c>
      <c r="C35" s="33">
        <v>86854.5</v>
      </c>
      <c r="D35" s="33">
        <v>34.43</v>
      </c>
    </row>
    <row r="37" ht="25.5" spans="1:1">
      <c r="A37" s="34" t="s">
        <v>99</v>
      </c>
    </row>
    <row r="38" spans="1:1">
      <c r="A38" t="s">
        <v>100</v>
      </c>
    </row>
    <row r="39" spans="1:1">
      <c r="A39" t="s">
        <v>101</v>
      </c>
    </row>
    <row r="40" spans="1:1">
      <c r="A40" t="s">
        <v>102</v>
      </c>
    </row>
    <row r="41" spans="1:1">
      <c r="A41" t="s">
        <v>103</v>
      </c>
    </row>
    <row r="42" spans="1:1">
      <c r="A42" t="s">
        <v>104</v>
      </c>
    </row>
    <row r="43" spans="1:1">
      <c r="A43" t="s">
        <v>105</v>
      </c>
    </row>
    <row r="44" spans="1:1">
      <c r="A44" t="s">
        <v>106</v>
      </c>
    </row>
    <row r="45" spans="1:1">
      <c r="A45" t="s">
        <v>107</v>
      </c>
    </row>
    <row r="46" spans="1:1">
      <c r="A46" t="s">
        <v>108</v>
      </c>
    </row>
    <row r="47" spans="1:1">
      <c r="A47" t="s">
        <v>109</v>
      </c>
    </row>
    <row r="48" spans="1:1">
      <c r="A48" t="s">
        <v>110</v>
      </c>
    </row>
    <row r="49" spans="1:1">
      <c r="A49" t="s">
        <v>111</v>
      </c>
    </row>
    <row r="50" spans="1:1">
      <c r="A50" t="s">
        <v>112</v>
      </c>
    </row>
    <row r="51" spans="1:1">
      <c r="A51" t="s">
        <v>113</v>
      </c>
    </row>
    <row r="52" spans="1:1">
      <c r="A52" t="s">
        <v>114</v>
      </c>
    </row>
    <row r="53" spans="1:1">
      <c r="A53" t="s">
        <v>115</v>
      </c>
    </row>
    <row r="54" spans="1:1">
      <c r="A54" t="s">
        <v>116</v>
      </c>
    </row>
    <row r="55" spans="1:1">
      <c r="A55" t="s">
        <v>117</v>
      </c>
    </row>
    <row r="56" spans="1:1">
      <c r="A56" t="s">
        <v>118</v>
      </c>
    </row>
    <row r="57" spans="1:1">
      <c r="A57" t="s">
        <v>119</v>
      </c>
    </row>
    <row r="58" spans="1:1">
      <c r="A58" t="s">
        <v>120</v>
      </c>
    </row>
    <row r="59" spans="1:1">
      <c r="A59" t="s">
        <v>121</v>
      </c>
    </row>
    <row r="60" spans="1:1">
      <c r="A60" t="s">
        <v>122</v>
      </c>
    </row>
    <row r="61" spans="1:1">
      <c r="A61" t="s">
        <v>123</v>
      </c>
    </row>
    <row r="62" spans="1:1">
      <c r="A62" t="s">
        <v>124</v>
      </c>
    </row>
    <row r="63" spans="1:1">
      <c r="A63" t="s">
        <v>125</v>
      </c>
    </row>
    <row r="64" spans="1:1">
      <c r="A64" t="s">
        <v>126</v>
      </c>
    </row>
    <row r="65" spans="1:1">
      <c r="A65" t="s">
        <v>127</v>
      </c>
    </row>
    <row r="66" spans="1:1">
      <c r="A66" t="s">
        <v>128</v>
      </c>
    </row>
    <row r="67" spans="1:1">
      <c r="A67" t="s">
        <v>129</v>
      </c>
    </row>
    <row r="68" spans="1:1">
      <c r="A68" t="s">
        <v>130</v>
      </c>
    </row>
    <row r="69" spans="1:1">
      <c r="A69" t="s">
        <v>131</v>
      </c>
    </row>
    <row r="70" spans="1:1">
      <c r="A70" t="s">
        <v>132</v>
      </c>
    </row>
    <row r="71" spans="1:1">
      <c r="A71" t="s">
        <v>133</v>
      </c>
    </row>
    <row r="72" spans="1:1">
      <c r="A72" t="s">
        <v>134</v>
      </c>
    </row>
    <row r="73" spans="1:1">
      <c r="A73" t="s">
        <v>135</v>
      </c>
    </row>
    <row r="74" spans="1:1">
      <c r="A74" t="s">
        <v>136</v>
      </c>
    </row>
    <row r="75" spans="1:1">
      <c r="A75" t="s">
        <v>137</v>
      </c>
    </row>
    <row r="76" spans="1:1">
      <c r="A76" t="s">
        <v>138</v>
      </c>
    </row>
    <row r="77" spans="1:1">
      <c r="A77" t="s">
        <v>139</v>
      </c>
    </row>
    <row r="78" spans="1:1">
      <c r="A78" t="s">
        <v>140</v>
      </c>
    </row>
    <row r="79" spans="1:1">
      <c r="A79" t="s">
        <v>141</v>
      </c>
    </row>
    <row r="80" spans="1:1">
      <c r="A80" t="s">
        <v>142</v>
      </c>
    </row>
    <row r="81" spans="1:1">
      <c r="A81" t="s">
        <v>143</v>
      </c>
    </row>
    <row r="82" spans="1:1">
      <c r="A82" t="s">
        <v>144</v>
      </c>
    </row>
    <row r="83" spans="1:1">
      <c r="A83" t="s">
        <v>145</v>
      </c>
    </row>
  </sheetData>
  <mergeCells count="11">
    <mergeCell ref="A2:E2"/>
    <mergeCell ref="A27:E27"/>
    <mergeCell ref="A28:E28"/>
    <mergeCell ref="A29:E29"/>
    <mergeCell ref="A30:E30"/>
    <mergeCell ref="A33:D33"/>
    <mergeCell ref="A7:A16"/>
    <mergeCell ref="A25:A26"/>
    <mergeCell ref="I6:I8"/>
    <mergeCell ref="I9:I10"/>
    <mergeCell ref="I20:I21"/>
  </mergeCells>
  <hyperlinks>
    <hyperlink ref="A1" location="目录!A1" display="&lt;--返回目录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A1" sqref="A1:E29"/>
    </sheetView>
  </sheetViews>
  <sheetFormatPr defaultColWidth="9" defaultRowHeight="13.5" outlineLevelCol="4"/>
  <cols>
    <col min="2" max="2" width="19.125" customWidth="1"/>
    <col min="4" max="4" width="15.625" customWidth="1"/>
    <col min="5" max="5" width="13.875" customWidth="1"/>
  </cols>
  <sheetData>
    <row r="1" ht="14.25" spans="1:5">
      <c r="A1" s="1" t="s">
        <v>20</v>
      </c>
      <c r="B1" s="2"/>
      <c r="C1" s="2"/>
      <c r="D1" s="2"/>
      <c r="E1" s="3"/>
    </row>
    <row r="2" ht="14.25" spans="1:5">
      <c r="A2" s="4" t="s">
        <v>22</v>
      </c>
      <c r="B2" s="4" t="s">
        <v>23</v>
      </c>
      <c r="C2" s="4" t="s">
        <v>24</v>
      </c>
      <c r="D2" s="4" t="s">
        <v>25</v>
      </c>
      <c r="E2" s="4" t="s">
        <v>26</v>
      </c>
    </row>
    <row r="3" ht="16.5" spans="1:5">
      <c r="A3" s="4">
        <v>1</v>
      </c>
      <c r="B3" s="5" t="s">
        <v>42</v>
      </c>
      <c r="C3" s="4" t="s">
        <v>43</v>
      </c>
      <c r="D3" s="4">
        <v>120411</v>
      </c>
      <c r="E3" s="4"/>
    </row>
    <row r="4" ht="16.5" spans="1:5">
      <c r="A4" s="4">
        <v>2</v>
      </c>
      <c r="B4" s="5" t="s">
        <v>45</v>
      </c>
      <c r="C4" s="4" t="s">
        <v>43</v>
      </c>
      <c r="D4" s="4">
        <v>98382</v>
      </c>
      <c r="E4" s="4"/>
    </row>
    <row r="5" ht="16.5" spans="1:5">
      <c r="A5" s="4">
        <v>3</v>
      </c>
      <c r="B5" s="5" t="s">
        <v>12</v>
      </c>
      <c r="C5" s="4" t="s">
        <v>43</v>
      </c>
      <c r="D5" s="4">
        <f>[1]分栋指标!O23+D13</f>
        <v>328325.57</v>
      </c>
      <c r="E5" s="4"/>
    </row>
    <row r="6" ht="16.5" spans="1:5">
      <c r="A6" s="6" t="s">
        <v>49</v>
      </c>
      <c r="B6" s="5" t="s">
        <v>50</v>
      </c>
      <c r="C6" s="4" t="s">
        <v>43</v>
      </c>
      <c r="D6" s="4">
        <f>[1]分栋指标!D23</f>
        <v>213353.99</v>
      </c>
      <c r="E6" s="7">
        <f>[1]分栋指标!P23</f>
        <v>1719</v>
      </c>
    </row>
    <row r="7" ht="16.5" spans="1:5">
      <c r="A7" s="8"/>
      <c r="B7" s="5" t="s">
        <v>52</v>
      </c>
      <c r="C7" s="4" t="s">
        <v>43</v>
      </c>
      <c r="D7" s="4">
        <f>[1]分栋指标!E23</f>
        <v>30407.87</v>
      </c>
      <c r="E7" s="4"/>
    </row>
    <row r="8" ht="16.5" spans="1:5">
      <c r="A8" s="8"/>
      <c r="B8" s="9" t="s">
        <v>32</v>
      </c>
      <c r="C8" s="4" t="s">
        <v>43</v>
      </c>
      <c r="D8" s="4">
        <f>[1]分栋指标!G23</f>
        <v>12254.64</v>
      </c>
      <c r="E8" s="4"/>
    </row>
    <row r="9" ht="16.5" spans="1:5">
      <c r="A9" s="8"/>
      <c r="B9" s="9" t="s">
        <v>31</v>
      </c>
      <c r="C9" s="4" t="s">
        <v>43</v>
      </c>
      <c r="D9" s="4">
        <f>[1]分栋指标!F23</f>
        <v>7139.52</v>
      </c>
      <c r="E9" s="4"/>
    </row>
    <row r="10" ht="16.5" spans="1:5">
      <c r="A10" s="8"/>
      <c r="B10" s="5" t="s">
        <v>33</v>
      </c>
      <c r="C10" s="4" t="s">
        <v>43</v>
      </c>
      <c r="D10" s="4">
        <f>[1]分栋指标!H23</f>
        <v>4288.56</v>
      </c>
      <c r="E10" s="10" t="s">
        <v>57</v>
      </c>
    </row>
    <row r="11" ht="16.5" spans="1:5">
      <c r="A11" s="8"/>
      <c r="B11" s="9" t="s">
        <v>59</v>
      </c>
      <c r="C11" s="4" t="s">
        <v>43</v>
      </c>
      <c r="D11" s="4">
        <f>[1]分栋指标!J23</f>
        <v>1553.2</v>
      </c>
      <c r="E11" s="4"/>
    </row>
    <row r="12" ht="16.5" spans="1:5">
      <c r="A12" s="8"/>
      <c r="B12" s="9" t="s">
        <v>36</v>
      </c>
      <c r="C12" s="4" t="s">
        <v>43</v>
      </c>
      <c r="D12" s="4">
        <f>[1]分栋指标!K23</f>
        <v>0</v>
      </c>
      <c r="E12" s="4"/>
    </row>
    <row r="13" ht="16.5" spans="1:5">
      <c r="A13" s="8"/>
      <c r="B13" s="9" t="s">
        <v>62</v>
      </c>
      <c r="C13" s="4" t="s">
        <v>43</v>
      </c>
      <c r="D13" s="4">
        <v>54318.76</v>
      </c>
      <c r="E13" s="4" t="s">
        <v>63</v>
      </c>
    </row>
    <row r="14" ht="16.5" spans="1:5">
      <c r="A14" s="8"/>
      <c r="B14" s="9" t="s">
        <v>37</v>
      </c>
      <c r="C14" s="4" t="s">
        <v>43</v>
      </c>
      <c r="D14" s="4">
        <f>[1]分栋指标!L23</f>
        <v>3402.29</v>
      </c>
      <c r="E14" s="4" t="s">
        <v>63</v>
      </c>
    </row>
    <row r="15" ht="16.5" spans="1:5">
      <c r="A15" s="11"/>
      <c r="B15" s="5" t="s">
        <v>38</v>
      </c>
      <c r="C15" s="4" t="s">
        <v>43</v>
      </c>
      <c r="D15" s="4">
        <f>[1]分栋指标!M23</f>
        <v>1563.5</v>
      </c>
      <c r="E15" s="4" t="s">
        <v>63</v>
      </c>
    </row>
    <row r="16" ht="16.5" spans="1:5">
      <c r="A16" s="4">
        <v>4</v>
      </c>
      <c r="B16" s="5" t="s">
        <v>68</v>
      </c>
      <c r="C16" s="4" t="s">
        <v>43</v>
      </c>
      <c r="D16" s="4">
        <f>[1]分栋指标!N23</f>
        <v>267444.58</v>
      </c>
      <c r="E16" s="4"/>
    </row>
    <row r="17" ht="16.5" spans="1:5">
      <c r="A17" s="4">
        <v>5</v>
      </c>
      <c r="B17" s="5" t="s">
        <v>70</v>
      </c>
      <c r="C17" s="4" t="s">
        <v>43</v>
      </c>
      <c r="D17" s="4">
        <f>[1]分栋指标!C23</f>
        <v>22239.81</v>
      </c>
      <c r="E17" s="4"/>
    </row>
    <row r="18" ht="16.5" spans="1:5">
      <c r="A18" s="4">
        <v>6</v>
      </c>
      <c r="B18" s="5" t="s">
        <v>72</v>
      </c>
      <c r="C18" s="4" t="s">
        <v>43</v>
      </c>
      <c r="D18" s="12">
        <f>D4*0.31</f>
        <v>30498.42</v>
      </c>
      <c r="E18" s="4"/>
    </row>
    <row r="19" ht="14.25" spans="1:5">
      <c r="A19" s="4">
        <v>7</v>
      </c>
      <c r="B19" s="5" t="s">
        <v>74</v>
      </c>
      <c r="C19" s="4" t="s">
        <v>75</v>
      </c>
      <c r="D19" s="13">
        <f>[1]分栋指标!C23/D4</f>
        <v>0.226055680917241</v>
      </c>
      <c r="E19" s="4"/>
    </row>
    <row r="20" ht="14.25" spans="1:5">
      <c r="A20" s="4">
        <v>8</v>
      </c>
      <c r="B20" s="5" t="s">
        <v>77</v>
      </c>
      <c r="C20" s="4"/>
      <c r="D20" s="12">
        <f>D16/D4</f>
        <v>2.71842999735724</v>
      </c>
      <c r="E20" s="4"/>
    </row>
    <row r="21" ht="14.25" spans="1:5">
      <c r="A21" s="4">
        <v>9</v>
      </c>
      <c r="B21" s="5" t="s">
        <v>79</v>
      </c>
      <c r="C21" s="4" t="s">
        <v>75</v>
      </c>
      <c r="D21" s="13">
        <f>D18/D4</f>
        <v>0.31</v>
      </c>
      <c r="E21" s="4"/>
    </row>
    <row r="22" ht="14.25" spans="1:5">
      <c r="A22" s="4">
        <v>10</v>
      </c>
      <c r="B22" s="5" t="s">
        <v>81</v>
      </c>
      <c r="C22" s="4" t="s">
        <v>75</v>
      </c>
      <c r="D22" s="13">
        <v>0.15</v>
      </c>
      <c r="E22" s="4"/>
    </row>
    <row r="23" ht="14.25" spans="1:5">
      <c r="A23" s="4">
        <v>11</v>
      </c>
      <c r="B23" s="5" t="s">
        <v>83</v>
      </c>
      <c r="C23" s="4" t="s">
        <v>84</v>
      </c>
      <c r="D23" s="4">
        <f>D24+D25</f>
        <v>2044</v>
      </c>
      <c r="E23" s="4"/>
    </row>
    <row r="24" ht="14.25" spans="1:5">
      <c r="A24" s="6" t="s">
        <v>49</v>
      </c>
      <c r="B24" s="5" t="s">
        <v>86</v>
      </c>
      <c r="C24" s="4" t="s">
        <v>84</v>
      </c>
      <c r="D24" s="4">
        <v>377</v>
      </c>
      <c r="E24" s="4"/>
    </row>
    <row r="25" ht="14.25" spans="1:5">
      <c r="A25" s="11"/>
      <c r="B25" s="5" t="s">
        <v>88</v>
      </c>
      <c r="C25" s="4" t="s">
        <v>84</v>
      </c>
      <c r="D25" s="4">
        <v>1667</v>
      </c>
      <c r="E25" s="4"/>
    </row>
    <row r="26" ht="28" customHeight="1" spans="1:5">
      <c r="A26" s="14" t="s">
        <v>89</v>
      </c>
      <c r="B26" s="14"/>
      <c r="C26" s="14"/>
      <c r="D26" s="14"/>
      <c r="E26" s="14"/>
    </row>
    <row r="27" ht="35" customHeight="1" spans="1:5">
      <c r="A27" s="15" t="s">
        <v>90</v>
      </c>
      <c r="B27" s="16"/>
      <c r="C27" s="16"/>
      <c r="D27" s="16"/>
      <c r="E27" s="16"/>
    </row>
    <row r="28" ht="31" customHeight="1" spans="1:5">
      <c r="A28" s="16" t="s">
        <v>91</v>
      </c>
      <c r="B28" s="16"/>
      <c r="C28" s="16"/>
      <c r="D28" s="16"/>
      <c r="E28" s="16"/>
    </row>
    <row r="29" ht="45" customHeight="1" spans="1:5">
      <c r="A29" s="15" t="s">
        <v>92</v>
      </c>
      <c r="B29" s="15"/>
      <c r="C29" s="15"/>
      <c r="D29" s="15"/>
      <c r="E29" s="15"/>
    </row>
  </sheetData>
  <mergeCells count="7">
    <mergeCell ref="A1:E1"/>
    <mergeCell ref="A26:E26"/>
    <mergeCell ref="A27:E27"/>
    <mergeCell ref="A28:E28"/>
    <mergeCell ref="A29:E29"/>
    <mergeCell ref="A6:A15"/>
    <mergeCell ref="A24:A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户型指标表</vt:lpstr>
      <vt:lpstr>总图指标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created xsi:type="dcterms:W3CDTF">2023-03-10T02:11:03Z</dcterms:created>
  <dcterms:modified xsi:type="dcterms:W3CDTF">2023-03-10T03:31:48Z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C35235FFB5034D92A16001C258334D3D</vt:lpwstr>
  </property>
</Properties>
</file>