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uny\Dropbox\Jouny\"/>
    </mc:Choice>
  </mc:AlternateContent>
  <xr:revisionPtr revIDLastSave="0" documentId="13_ncr:1_{49F7A23A-A2CF-4026-9164-E7ACB74DFB1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Analysis" sheetId="6" r:id="rId1"/>
    <sheet name="Data" sheetId="7" r:id="rId2"/>
  </sheets>
  <definedNames>
    <definedName name="solver_adj" localSheetId="0" hidden="1">Analysis!$B$13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Analysis!$B$14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7" i="7"/>
  <c r="B5" i="6" l="1"/>
  <c r="B6" i="6" l="1"/>
  <c r="G6" i="7" l="1"/>
  <c r="Q6" i="7"/>
  <c r="B19" i="6" l="1"/>
  <c r="B20" i="6" s="1"/>
  <c r="B33" i="6" l="1"/>
  <c r="F16" i="6" s="1"/>
  <c r="B31" i="6"/>
  <c r="B32" i="6" s="1"/>
  <c r="B23" i="6"/>
  <c r="F15" i="6" s="1"/>
  <c r="B21" i="6"/>
  <c r="F4" i="6" s="1"/>
  <c r="R6" i="7"/>
  <c r="R7" i="7"/>
  <c r="R3" i="7"/>
  <c r="Q7" i="7"/>
  <c r="Q3" i="7"/>
  <c r="P4" i="7"/>
  <c r="P8" i="7"/>
  <c r="O4" i="7"/>
  <c r="B22" i="6" s="1"/>
  <c r="F11" i="6" s="1"/>
  <c r="O5" i="7"/>
  <c r="P5" i="7" s="1"/>
  <c r="O6" i="7"/>
  <c r="P6" i="7" s="1"/>
  <c r="O7" i="7"/>
  <c r="P7" i="7" s="1"/>
  <c r="O8" i="7"/>
  <c r="O9" i="7"/>
  <c r="P9" i="7" s="1"/>
  <c r="O3" i="7"/>
  <c r="P3" i="7" s="1"/>
  <c r="B24" i="6" l="1"/>
  <c r="B25" i="6" s="1"/>
  <c r="B26" i="6" s="1"/>
  <c r="B28" i="6" l="1"/>
  <c r="B29" i="6" s="1"/>
  <c r="J9" i="7"/>
  <c r="G9" i="7"/>
  <c r="J8" i="7"/>
  <c r="G8" i="7"/>
  <c r="J7" i="7"/>
  <c r="J6" i="7"/>
  <c r="J5" i="7"/>
  <c r="G5" i="7"/>
  <c r="J4" i="7"/>
  <c r="G4" i="7"/>
  <c r="B17" i="7" l="1"/>
  <c r="Q4" i="7"/>
  <c r="R4" i="7"/>
  <c r="F19" i="6"/>
  <c r="Q9" i="7"/>
  <c r="R9" i="7"/>
  <c r="Q5" i="7"/>
  <c r="R5" i="7"/>
  <c r="Q8" i="7"/>
  <c r="R8" i="7"/>
  <c r="B19" i="7"/>
  <c r="B27" i="6"/>
  <c r="B34" i="6" s="1"/>
  <c r="F7" i="6" l="1"/>
  <c r="F14" i="6"/>
  <c r="B30" i="6"/>
  <c r="F13" i="6" s="1"/>
  <c r="F5" i="6"/>
  <c r="F12" i="6"/>
  <c r="F17" i="6" l="1"/>
  <c r="F21" i="6" s="1"/>
  <c r="M9" i="6" s="1"/>
  <c r="F6" i="6"/>
  <c r="F8" i="6" s="1"/>
  <c r="J3" i="6" s="1"/>
  <c r="J8" i="6" s="1"/>
  <c r="L10" i="6" l="1"/>
  <c r="L11" i="6"/>
  <c r="L15" i="6"/>
  <c r="L19" i="6"/>
  <c r="L12" i="6"/>
  <c r="L16" i="6"/>
  <c r="L9" i="6"/>
  <c r="L18" i="6"/>
  <c r="L13" i="6"/>
  <c r="L17" i="6"/>
  <c r="L14" i="6"/>
  <c r="N9" i="6"/>
  <c r="O9" i="6" s="1"/>
  <c r="P9" i="6" s="1"/>
  <c r="M21" i="6"/>
  <c r="N21" i="6" s="1"/>
  <c r="O21" i="6" s="1"/>
  <c r="P21" i="6" s="1"/>
  <c r="M11" i="6"/>
  <c r="M24" i="6"/>
  <c r="N24" i="6" s="1"/>
  <c r="O24" i="6" s="1"/>
  <c r="P24" i="6" s="1"/>
  <c r="M17" i="6"/>
  <c r="M28" i="6"/>
  <c r="N28" i="6" s="1"/>
  <c r="M10" i="6"/>
  <c r="M14" i="6"/>
  <c r="M23" i="6"/>
  <c r="N23" i="6" s="1"/>
  <c r="O23" i="6" s="1"/>
  <c r="P23" i="6" s="1"/>
  <c r="M19" i="6"/>
  <c r="M27" i="6"/>
  <c r="N27" i="6" s="1"/>
  <c r="O27" i="6" s="1"/>
  <c r="P27" i="6" s="1"/>
  <c r="M26" i="6"/>
  <c r="N26" i="6" s="1"/>
  <c r="O26" i="6" s="1"/>
  <c r="P26" i="6" s="1"/>
  <c r="M25" i="6"/>
  <c r="N25" i="6" s="1"/>
  <c r="O25" i="6" s="1"/>
  <c r="P25" i="6" s="1"/>
  <c r="M20" i="6"/>
  <c r="N20" i="6" s="1"/>
  <c r="O20" i="6" s="1"/>
  <c r="P20" i="6" s="1"/>
  <c r="M16" i="6"/>
  <c r="M12" i="6"/>
  <c r="M22" i="6"/>
  <c r="N22" i="6" s="1"/>
  <c r="O22" i="6" s="1"/>
  <c r="P22" i="6" s="1"/>
  <c r="M13" i="6"/>
  <c r="M18" i="6"/>
  <c r="M15" i="6"/>
  <c r="N15" i="6" s="1"/>
  <c r="O15" i="6" s="1"/>
  <c r="P15" i="6" s="1"/>
  <c r="F23" i="6"/>
  <c r="K8" i="6"/>
  <c r="O8" i="6" s="1"/>
  <c r="P8" i="6" s="1"/>
  <c r="Q8" i="6" s="1"/>
  <c r="N14" i="6" l="1"/>
  <c r="O14" i="6" s="1"/>
  <c r="P14" i="6" s="1"/>
  <c r="N10" i="6"/>
  <c r="O10" i="6" s="1"/>
  <c r="P10" i="6" s="1"/>
  <c r="N17" i="6"/>
  <c r="O17" i="6" s="1"/>
  <c r="P17" i="6" s="1"/>
  <c r="N12" i="6"/>
  <c r="O12" i="6" s="1"/>
  <c r="P12" i="6" s="1"/>
  <c r="N11" i="6"/>
  <c r="O11" i="6" s="1"/>
  <c r="P11" i="6" s="1"/>
  <c r="N16" i="6"/>
  <c r="O16" i="6" s="1"/>
  <c r="P16" i="6" s="1"/>
  <c r="N18" i="6"/>
  <c r="O18" i="6" s="1"/>
  <c r="P18" i="6" s="1"/>
  <c r="N13" i="6"/>
  <c r="O13" i="6" s="1"/>
  <c r="P13" i="6" s="1"/>
  <c r="N19" i="6"/>
  <c r="O19" i="6" s="1"/>
  <c r="P19" i="6" s="1"/>
  <c r="K28" i="6"/>
  <c r="O28" i="6" s="1"/>
  <c r="P28" i="6" s="1"/>
  <c r="Q9" i="6"/>
  <c r="Q10" i="6" l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</calcChain>
</file>

<file path=xl/sharedStrings.xml><?xml version="1.0" encoding="utf-8"?>
<sst xmlns="http://schemas.openxmlformats.org/spreadsheetml/2006/main" count="206" uniqueCount="161">
  <si>
    <t>$/kWh</t>
  </si>
  <si>
    <t>MACRS 5 yr</t>
  </si>
  <si>
    <t>Year</t>
  </si>
  <si>
    <t>Percent</t>
  </si>
  <si>
    <t>Total depreciable capital:</t>
  </si>
  <si>
    <t>yr</t>
  </si>
  <si>
    <t>Net Earning</t>
  </si>
  <si>
    <t>V</t>
  </si>
  <si>
    <t>%</t>
  </si>
  <si>
    <t>mA/cm^2</t>
  </si>
  <si>
    <t>$/kg</t>
  </si>
  <si>
    <t>$</t>
  </si>
  <si>
    <t>$/ton</t>
  </si>
  <si>
    <t>mol/s</t>
  </si>
  <si>
    <t xml:space="preserve"> </t>
  </si>
  <si>
    <t>g CO2/kWh</t>
  </si>
  <si>
    <t>Wind</t>
  </si>
  <si>
    <t>$/day</t>
  </si>
  <si>
    <t>Nuclear</t>
  </si>
  <si>
    <t>Solar</t>
  </si>
  <si>
    <t>Coal</t>
  </si>
  <si>
    <t>m^2</t>
  </si>
  <si>
    <t>kg/day</t>
  </si>
  <si>
    <t>years</t>
  </si>
  <si>
    <t>l/min</t>
  </si>
  <si>
    <t>Carbon monoxide</t>
  </si>
  <si>
    <t>Formic acid</t>
  </si>
  <si>
    <t>Methanol</t>
  </si>
  <si>
    <t>Methane</t>
  </si>
  <si>
    <t>Ethylene</t>
  </si>
  <si>
    <t>Ethanol</t>
  </si>
  <si>
    <t>Propanol</t>
  </si>
  <si>
    <t>Chemical prices:</t>
  </si>
  <si>
    <t>Product:</t>
  </si>
  <si>
    <t>Product Selling Price:</t>
  </si>
  <si>
    <t>Product State:</t>
  </si>
  <si>
    <t>Liq</t>
  </si>
  <si>
    <t>Electrolyzer Assumptions:</t>
  </si>
  <si>
    <t>Current Density:</t>
  </si>
  <si>
    <t>A/cm^2</t>
  </si>
  <si>
    <t>Cell Voltage:</t>
  </si>
  <si>
    <t>Product Selectivity:</t>
  </si>
  <si>
    <t>Operating time</t>
  </si>
  <si>
    <t>days/year</t>
  </si>
  <si>
    <t>Lifetime</t>
  </si>
  <si>
    <t># elec</t>
  </si>
  <si>
    <t># elec/CO2</t>
  </si>
  <si>
    <t>Current Needed:</t>
  </si>
  <si>
    <t xml:space="preserve">A </t>
  </si>
  <si>
    <t>Power Needed:</t>
  </si>
  <si>
    <t>MW</t>
  </si>
  <si>
    <t>Mole ratio</t>
  </si>
  <si>
    <t>Electricity Price</t>
  </si>
  <si>
    <t>CO2 Purchase</t>
  </si>
  <si>
    <t>Income Tax</t>
  </si>
  <si>
    <t>Net Profit</t>
  </si>
  <si>
    <t>m^3/hr</t>
  </si>
  <si>
    <t>kWh/m^3</t>
  </si>
  <si>
    <t>Density (kg/m^3)</t>
  </si>
  <si>
    <t>State</t>
  </si>
  <si>
    <t>Gas</t>
  </si>
  <si>
    <t>Electrolyzer Balance:</t>
  </si>
  <si>
    <t>Conversion:</t>
  </si>
  <si>
    <t>kg/hr</t>
  </si>
  <si>
    <t>CO2 outlet flow rate:</t>
  </si>
  <si>
    <t>CO2 inlet flow rate:</t>
  </si>
  <si>
    <t>Gas product flow rate:</t>
  </si>
  <si>
    <t>Lqiuid product flow rate:</t>
  </si>
  <si>
    <t>Electrolyte flow rate:</t>
  </si>
  <si>
    <t>Capital Costs:</t>
  </si>
  <si>
    <t>Electrolyzer:</t>
  </si>
  <si>
    <t>CO2 Purchase Cost:</t>
  </si>
  <si>
    <t>Electrolyzer Maintanence cost:</t>
  </si>
  <si>
    <t>% capital per year</t>
  </si>
  <si>
    <t>PSA Capacity Scaling Factor:</t>
  </si>
  <si>
    <t>Hydrogen flow rate:</t>
  </si>
  <si>
    <t>PSA Reference Cost:</t>
  </si>
  <si>
    <t>PSA Reference Capacity:</t>
  </si>
  <si>
    <t>PSA Operating cost:</t>
  </si>
  <si>
    <t>Distillation Capacity Scaling Factor:</t>
  </si>
  <si>
    <t>Distillation Refence cost:</t>
  </si>
  <si>
    <t>Distillation Refence capacity:</t>
  </si>
  <si>
    <t>Distillation Operating cost:</t>
  </si>
  <si>
    <t>Distillation:</t>
  </si>
  <si>
    <t>PSA:</t>
  </si>
  <si>
    <t>Operating Costs:</t>
  </si>
  <si>
    <t>Product Income:</t>
  </si>
  <si>
    <t>Yearly Profit:</t>
  </si>
  <si>
    <t>$/yr</t>
  </si>
  <si>
    <t>Payback Time:</t>
  </si>
  <si>
    <t>CCS-Coal</t>
  </si>
  <si>
    <t>Electrolyzer Electricity:</t>
  </si>
  <si>
    <t>Maintanence:</t>
  </si>
  <si>
    <t>$/m^2</t>
  </si>
  <si>
    <t>Installed Cost</t>
  </si>
  <si>
    <t>Electrolyzer area:</t>
  </si>
  <si>
    <t>Total:</t>
  </si>
  <si>
    <t>Chemical</t>
  </si>
  <si>
    <t>Formic Acid</t>
  </si>
  <si>
    <t>Reference Cost</t>
  </si>
  <si>
    <t>Utility Cost</t>
  </si>
  <si>
    <t>MACRS 10 yr</t>
  </si>
  <si>
    <t>Process Water</t>
  </si>
  <si>
    <t>$/gal</t>
  </si>
  <si>
    <t>gal/day</t>
  </si>
  <si>
    <t>Water</t>
  </si>
  <si>
    <t>Process Water flow:</t>
  </si>
  <si>
    <t>Potential</t>
  </si>
  <si>
    <t>Voltage theory</t>
  </si>
  <si>
    <t>Voltage practical</t>
  </si>
  <si>
    <t>Low price</t>
  </si>
  <si>
    <t>High price</t>
  </si>
  <si>
    <t>Product production:</t>
  </si>
  <si>
    <t>CO2 needed:</t>
  </si>
  <si>
    <t># electrons per mole product</t>
  </si>
  <si>
    <t>Total gas flow</t>
  </si>
  <si>
    <t>H2A Base Cost</t>
  </si>
  <si>
    <t>$/kW ($2010)</t>
  </si>
  <si>
    <t>Norsk Electrolyzer Voltage</t>
  </si>
  <si>
    <t>Norsk Electrolyzer Current Density</t>
  </si>
  <si>
    <t>Nominal Interest Rate</t>
  </si>
  <si>
    <t>Base Case</t>
  </si>
  <si>
    <t>Optimistic Case</t>
  </si>
  <si>
    <t>Balance of Plant</t>
  </si>
  <si>
    <t>Economic Analysis of a CO2 Electrolyzer System</t>
  </si>
  <si>
    <t>NPV ($millions)=</t>
  </si>
  <si>
    <t>Production Rate (ton/day):</t>
  </si>
  <si>
    <t>Electricity Price ($/kWh):</t>
  </si>
  <si>
    <t>Lifetime (years)</t>
  </si>
  <si>
    <t>Operating time (days/year)</t>
  </si>
  <si>
    <r>
      <t>Current Density (mA/cm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</si>
  <si>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Cell Voltage (V):</t>
  </si>
  <si>
    <t>Product Selectivity (%):</t>
  </si>
  <si>
    <t>Conversion (%):</t>
  </si>
  <si>
    <t>CO2 Price ($/ton):</t>
  </si>
  <si>
    <t>Interest Rate (%)</t>
  </si>
  <si>
    <r>
      <t>Electrolyzer Cost ($/m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</si>
  <si>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Parameter</t>
  </si>
  <si>
    <t>Sensitivity Parameters</t>
  </si>
  <si>
    <t>Base</t>
  </si>
  <si>
    <t>Better</t>
  </si>
  <si>
    <t>Worse</t>
  </si>
  <si>
    <t>+15%</t>
  </si>
  <si>
    <t>-15%</t>
  </si>
  <si>
    <t>Electric Price ($/kWh)</t>
  </si>
  <si>
    <t>Selling Price ($/kg)</t>
  </si>
  <si>
    <t>Selectivity (%)</t>
  </si>
  <si>
    <t>Voltage (V)</t>
  </si>
  <si>
    <t>CO2 Cost ($/ton)</t>
  </si>
  <si>
    <r>
      <t>Current Density (mA/cm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</si>
  <si>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Conversion (%)</t>
  </si>
  <si>
    <t>Process Values</t>
  </si>
  <si>
    <t>GHG Emissions</t>
  </si>
  <si>
    <t>Source</t>
  </si>
  <si>
    <t>Cathodic Overpotential</t>
  </si>
  <si>
    <t>Capital Expenses</t>
  </si>
  <si>
    <t>Working Capital</t>
  </si>
  <si>
    <t>Depreciation</t>
  </si>
  <si>
    <t>Discounted Cash Flow</t>
  </si>
  <si>
    <t xml:space="preserve">Cash Flow (Present Value) </t>
  </si>
  <si>
    <t>Cumulative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</si>
</sst>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#,##0.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" fontId="0" fillId="0" borderId="0" xfId="0" applyNumberFormat="1" applyBorder="1"/>
    <xf numFmtId="3" fontId="0" fillId="0" borderId="2" xfId="0" applyNumberFormat="1" applyBorder="1"/>
    <xf numFmtId="3" fontId="0" fillId="0" borderId="3" xfId="1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8" xfId="0" applyNumberFormat="1" applyBorder="1"/>
    <xf numFmtId="0" fontId="0" fillId="0" borderId="5" xfId="0" applyNumberFormat="1" applyBorder="1"/>
    <xf numFmtId="0" fontId="0" fillId="0" borderId="7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Fill="1" applyBorder="1"/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164" fontId="0" fillId="0" borderId="0" xfId="0" applyNumberFormat="1" applyBorder="1"/>
    <xf numFmtId="0" fontId="4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/>
    <xf numFmtId="0" fontId="0" fillId="0" borderId="5" xfId="0" applyFill="1" applyBorder="1" applyAlignment="1">
      <alignment horizontal="center"/>
    </xf>
    <xf numFmtId="9" fontId="0" fillId="0" borderId="0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0" fontId="6" fillId="0" borderId="0" xfId="0" applyFont="1"/>
    <xf numFmtId="0" fontId="0" fillId="0" borderId="7" xfId="0" applyFill="1" applyBorder="1" applyAlignment="1">
      <alignment horizontal="center"/>
    </xf>
    <xf numFmtId="3" fontId="0" fillId="0" borderId="0" xfId="0" applyNumberFormat="1" applyFill="1" applyBorder="1"/>
    <xf numFmtId="164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4" fontId="3" fillId="2" borderId="0" xfId="2" applyNumberFormat="1" applyBorder="1"/>
    <xf numFmtId="11" fontId="0" fillId="0" borderId="0" xfId="0" applyNumberFormat="1"/>
    <xf numFmtId="4" fontId="0" fillId="0" borderId="0" xfId="0" applyNumberFormat="1"/>
    <xf numFmtId="4" fontId="3" fillId="0" borderId="0" xfId="2" applyNumberFormat="1" applyFill="1" applyBorder="1"/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5" fillId="0" borderId="0" xfId="2" applyNumberFormat="1" applyFont="1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1" applyNumberFormat="1" applyFont="1" applyBorder="1"/>
    <xf numFmtId="166" fontId="0" fillId="0" borderId="0" xfId="0" applyNumberFormat="1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75"/>
  <sheetViews>
    <sheetView tabSelected="1" zoomScale="70" zoomScaleNormal="70" workbookViewId="0"/>
  </sheetViews>
  <sheetFormatPr defaultRowHeight="15" x14ac:dyDescent="0.25"/>
  <cols>
    <col min="1" max="1" width="26.85546875" customWidth="1"/>
    <col min="2" max="2" width="17.140625" customWidth="1"/>
    <col min="3" max="3" width="14.85546875" bestFit="1" customWidth="1"/>
    <col min="4" max="4" width="12.140625" bestFit="1" customWidth="1"/>
    <col min="5" max="5" width="24.5703125" customWidth="1"/>
    <col min="6" max="6" width="17" customWidth="1"/>
    <col min="7" max="7" width="16.7109375" customWidth="1"/>
    <col min="8" max="8" width="11.85546875" customWidth="1"/>
    <col min="9" max="9" width="27.85546875" customWidth="1"/>
    <col min="10" max="10" width="16" bestFit="1" customWidth="1"/>
    <col min="11" max="11" width="15.5703125" bestFit="1" customWidth="1"/>
    <col min="12" max="12" width="12.42578125" bestFit="1" customWidth="1"/>
    <col min="13" max="13" width="11.5703125" customWidth="1"/>
    <col min="14" max="14" width="11.28515625" bestFit="1" customWidth="1"/>
    <col min="15" max="15" width="20.5703125" bestFit="1" customWidth="1"/>
    <col min="16" max="16" width="25" bestFit="1" customWidth="1"/>
    <col min="17" max="17" width="29" customWidth="1"/>
    <col min="18" max="18" width="15.28515625" customWidth="1"/>
    <col min="21" max="21" width="11.5703125" customWidth="1"/>
  </cols>
  <sheetData>
    <row r="1" spans="1:21" ht="21" x14ac:dyDescent="0.35">
      <c r="A1" s="30" t="s">
        <v>124</v>
      </c>
    </row>
    <row r="3" spans="1:21" x14ac:dyDescent="0.25">
      <c r="A3" s="4" t="s">
        <v>112</v>
      </c>
      <c r="B3" s="33">
        <v>100000</v>
      </c>
      <c r="C3" s="6" t="s">
        <v>22</v>
      </c>
      <c r="E3" s="4" t="s">
        <v>69</v>
      </c>
      <c r="F3" s="33"/>
      <c r="G3" s="6"/>
      <c r="I3" s="12" t="s">
        <v>4</v>
      </c>
      <c r="J3" s="13">
        <f>F8</f>
        <v>25584397.345721226</v>
      </c>
      <c r="K3" s="5"/>
      <c r="L3" s="14"/>
      <c r="M3" s="14"/>
      <c r="N3" s="14"/>
      <c r="O3" s="14"/>
      <c r="P3" s="14"/>
      <c r="Q3" s="15"/>
      <c r="S3" s="3"/>
      <c r="T3" s="66"/>
    </row>
    <row r="4" spans="1:21" x14ac:dyDescent="0.25">
      <c r="A4" s="7" t="s">
        <v>33</v>
      </c>
      <c r="B4" s="54" t="s">
        <v>30</v>
      </c>
      <c r="C4" s="8"/>
      <c r="E4" s="7" t="s">
        <v>70</v>
      </c>
      <c r="F4" s="48">
        <f>B21*Data!B7</f>
        <v>9909940.2621815056</v>
      </c>
      <c r="G4" s="8" t="s">
        <v>11</v>
      </c>
      <c r="H4" s="3"/>
      <c r="I4" s="16" t="s">
        <v>54</v>
      </c>
      <c r="J4" s="22">
        <v>0.38900000000000001</v>
      </c>
      <c r="K4" s="2"/>
      <c r="L4" s="17"/>
      <c r="M4" s="17"/>
      <c r="N4" s="17"/>
      <c r="O4" s="17"/>
      <c r="P4" s="17"/>
      <c r="Q4" s="18"/>
      <c r="U4" s="64"/>
    </row>
    <row r="5" spans="1:21" x14ac:dyDescent="0.25">
      <c r="A5" s="7" t="s">
        <v>34</v>
      </c>
      <c r="B5" s="23">
        <f>VLOOKUP(B4,Data!F3:R9,2,FALSE)</f>
        <v>1.0030000000000001</v>
      </c>
      <c r="C5" s="8" t="s">
        <v>10</v>
      </c>
      <c r="E5" s="7" t="s">
        <v>123</v>
      </c>
      <c r="F5" s="48">
        <f>F4/0.65*0.35</f>
        <v>5336121.6796361953</v>
      </c>
      <c r="G5" s="8" t="s">
        <v>11</v>
      </c>
      <c r="H5" s="3"/>
      <c r="I5" s="16" t="s">
        <v>120</v>
      </c>
      <c r="J5" s="22">
        <v>0.1</v>
      </c>
      <c r="K5" s="2"/>
      <c r="L5" s="17"/>
      <c r="M5" s="17"/>
      <c r="N5" s="17"/>
      <c r="O5" s="17"/>
      <c r="P5" s="17"/>
      <c r="Q5" s="18"/>
    </row>
    <row r="6" spans="1:21" x14ac:dyDescent="0.25">
      <c r="A6" s="7" t="s">
        <v>35</v>
      </c>
      <c r="B6" s="23" t="str">
        <f>VLOOKUP(B4,Data!F3:M9,8,FALSE)</f>
        <v>Liq</v>
      </c>
      <c r="C6" s="8"/>
      <c r="E6" s="7" t="s">
        <v>83</v>
      </c>
      <c r="F6" s="48">
        <f>Data!B17*(Analysis!B30/Data!B18)^Data!B16</f>
        <v>3806444.2363747279</v>
      </c>
      <c r="G6" s="8" t="s">
        <v>11</v>
      </c>
      <c r="I6" s="16"/>
      <c r="J6" s="17"/>
      <c r="K6" s="17"/>
      <c r="L6" s="17"/>
      <c r="M6" s="17"/>
      <c r="N6" s="17"/>
      <c r="O6" s="17"/>
      <c r="P6" s="17"/>
      <c r="Q6" s="18"/>
      <c r="U6" s="41"/>
    </row>
    <row r="7" spans="1:21" x14ac:dyDescent="0.25">
      <c r="A7" s="7" t="s">
        <v>42</v>
      </c>
      <c r="B7" s="23">
        <v>350</v>
      </c>
      <c r="C7" s="8" t="s">
        <v>43</v>
      </c>
      <c r="E7" s="7" t="s">
        <v>84</v>
      </c>
      <c r="F7" s="48">
        <f>IF(B26=B34, 0, Data!B12*((Analysis!B26+Analysis!B27+Analysis!B32)/Data!B13)^Data!B11)</f>
        <v>6531891.1675287969</v>
      </c>
      <c r="G7" s="8" t="s">
        <v>11</v>
      </c>
      <c r="I7" s="16" t="s">
        <v>2</v>
      </c>
      <c r="J7" s="17" t="s">
        <v>155</v>
      </c>
      <c r="K7" s="17" t="s">
        <v>156</v>
      </c>
      <c r="L7" s="17" t="s">
        <v>157</v>
      </c>
      <c r="M7" s="17" t="s">
        <v>55</v>
      </c>
      <c r="N7" s="17" t="s">
        <v>6</v>
      </c>
      <c r="O7" s="56" t="s">
        <v>158</v>
      </c>
      <c r="P7" s="56" t="s">
        <v>159</v>
      </c>
      <c r="Q7" s="57" t="s">
        <v>160</v>
      </c>
    </row>
    <row r="8" spans="1:21" x14ac:dyDescent="0.25">
      <c r="A8" s="7" t="s">
        <v>44</v>
      </c>
      <c r="B8" s="23">
        <v>20</v>
      </c>
      <c r="C8" s="8" t="s">
        <v>23</v>
      </c>
      <c r="E8" s="7" t="s">
        <v>96</v>
      </c>
      <c r="F8" s="48">
        <f>SUM(F4:F7)</f>
        <v>25584397.345721226</v>
      </c>
      <c r="G8" s="8" t="s">
        <v>11</v>
      </c>
      <c r="I8" s="20">
        <v>0</v>
      </c>
      <c r="J8" s="17">
        <f>-J3</f>
        <v>-25584397.345721226</v>
      </c>
      <c r="K8" s="17">
        <f>0.05*J8</f>
        <v>-1279219.8672860614</v>
      </c>
      <c r="L8" s="17"/>
      <c r="M8" s="17"/>
      <c r="N8" s="17"/>
      <c r="O8" s="56">
        <f>J8+K8</f>
        <v>-26863617.213007286</v>
      </c>
      <c r="P8" s="56">
        <f>O8*1/(1+$J$5)^ABS((--I8))</f>
        <v>-26863617.213007286</v>
      </c>
      <c r="Q8" s="57">
        <f>P8</f>
        <v>-26863617.213007286</v>
      </c>
    </row>
    <row r="9" spans="1:21" x14ac:dyDescent="0.25">
      <c r="A9" s="7" t="s">
        <v>52</v>
      </c>
      <c r="B9" s="23">
        <v>0.03</v>
      </c>
      <c r="C9" s="8" t="s">
        <v>0</v>
      </c>
      <c r="E9" s="7"/>
      <c r="F9" s="23"/>
      <c r="G9" s="8"/>
      <c r="I9" s="20">
        <v>1</v>
      </c>
      <c r="J9" s="17"/>
      <c r="K9" s="17"/>
      <c r="L9" s="17">
        <f>-$J$8*Data!P17/100</f>
        <v>2558439.7345721228</v>
      </c>
      <c r="M9" s="17">
        <f>$F$21</f>
        <v>12432149.100850077</v>
      </c>
      <c r="N9" s="17">
        <f>(M9-L9)*(1-$J$4)</f>
        <v>6032836.4227958303</v>
      </c>
      <c r="O9" s="56">
        <f>N9+L9</f>
        <v>8591276.1573679522</v>
      </c>
      <c r="P9" s="56">
        <f>O9*1/(1+$J$5)^ABS((--I9))</f>
        <v>7810251.052152683</v>
      </c>
      <c r="Q9" s="57">
        <f>P9+Q8</f>
        <v>-19053366.160854604</v>
      </c>
    </row>
    <row r="10" spans="1:21" x14ac:dyDescent="0.25">
      <c r="A10" s="7"/>
      <c r="B10" s="23"/>
      <c r="C10" s="8"/>
      <c r="E10" s="7" t="s">
        <v>85</v>
      </c>
      <c r="F10" s="48"/>
      <c r="G10" s="8"/>
      <c r="I10" s="20">
        <v>2</v>
      </c>
      <c r="J10" s="17"/>
      <c r="K10" s="17"/>
      <c r="L10" s="17">
        <f>-$J$8*Data!P18/100</f>
        <v>4605191.5222298205</v>
      </c>
      <c r="M10" s="17">
        <f t="shared" ref="M10:M28" si="0">$F$21</f>
        <v>12432149.100850077</v>
      </c>
      <c r="N10" s="17">
        <f>(M10-L10)*(1-$J$4)</f>
        <v>4782271.0805369765</v>
      </c>
      <c r="O10" s="56">
        <f t="shared" ref="O10:O21" si="1">N10+L10</f>
        <v>9387462.6027667969</v>
      </c>
      <c r="P10" s="56">
        <f t="shared" ref="P10:P27" si="2">O10*1/(1+$J$5)^ABS((--I10))</f>
        <v>7758233.5560056157</v>
      </c>
      <c r="Q10" s="57">
        <f t="shared" ref="Q10:Q27" si="3">P10+Q9</f>
        <v>-11295132.604848988</v>
      </c>
    </row>
    <row r="11" spans="1:21" x14ac:dyDescent="0.25">
      <c r="A11" s="7" t="s">
        <v>37</v>
      </c>
      <c r="B11" s="23"/>
      <c r="C11" s="8"/>
      <c r="E11" s="7" t="s">
        <v>91</v>
      </c>
      <c r="F11" s="48">
        <f>B9*B22*1000*24</f>
        <v>46550.393206928144</v>
      </c>
      <c r="G11" s="8" t="s">
        <v>17</v>
      </c>
      <c r="I11" s="20">
        <v>3</v>
      </c>
      <c r="J11" s="17"/>
      <c r="K11" s="17"/>
      <c r="L11" s="17">
        <f>-$J$8*Data!P19/100</f>
        <v>3684153.2177838562</v>
      </c>
      <c r="M11" s="17">
        <f t="shared" si="0"/>
        <v>12432149.100850077</v>
      </c>
      <c r="N11" s="17">
        <f>(M11-L11)*(1-$J$4)</f>
        <v>5345025.4845534619</v>
      </c>
      <c r="O11" s="56">
        <f>N11+L11</f>
        <v>9029178.7023373172</v>
      </c>
      <c r="P11" s="56">
        <f t="shared" si="2"/>
        <v>6783755.5990513256</v>
      </c>
      <c r="Q11" s="57">
        <f t="shared" si="3"/>
        <v>-4511377.0057976628</v>
      </c>
    </row>
    <row r="12" spans="1:21" x14ac:dyDescent="0.25">
      <c r="A12" s="7" t="s">
        <v>38</v>
      </c>
      <c r="B12" s="23">
        <v>0.3</v>
      </c>
      <c r="C12" s="8" t="s">
        <v>39</v>
      </c>
      <c r="E12" s="7" t="s">
        <v>92</v>
      </c>
      <c r="F12" s="48">
        <f>F4*0.025/B7</f>
        <v>707.8528758701076</v>
      </c>
      <c r="G12" s="8" t="s">
        <v>17</v>
      </c>
      <c r="I12" s="20">
        <v>4</v>
      </c>
      <c r="J12" s="17"/>
      <c r="K12" s="17"/>
      <c r="L12" s="17">
        <f>-$J$8*Data!P20/100</f>
        <v>2947322.5742270853</v>
      </c>
      <c r="M12" s="17">
        <f t="shared" si="0"/>
        <v>12432149.100850077</v>
      </c>
      <c r="N12" s="17">
        <f t="shared" ref="N12:N27" si="4">(M12-L12)*(1-$J$4)</f>
        <v>5795229.0077666482</v>
      </c>
      <c r="O12" s="56">
        <f t="shared" si="1"/>
        <v>8742551.5819937326</v>
      </c>
      <c r="P12" s="56">
        <f t="shared" si="2"/>
        <v>5971280.3647249024</v>
      </c>
      <c r="Q12" s="57">
        <f t="shared" si="3"/>
        <v>1459903.3589272397</v>
      </c>
    </row>
    <row r="13" spans="1:21" x14ac:dyDescent="0.25">
      <c r="A13" s="27" t="s">
        <v>154</v>
      </c>
      <c r="B13" s="46">
        <v>0.45400000000000001</v>
      </c>
      <c r="C13" s="8" t="s">
        <v>7</v>
      </c>
      <c r="E13" s="7" t="s">
        <v>83</v>
      </c>
      <c r="F13" s="48">
        <f>(B30/Data!B18)*Data!B19</f>
        <v>8709.3115657754424</v>
      </c>
      <c r="G13" s="8" t="s">
        <v>17</v>
      </c>
      <c r="I13" s="20">
        <v>5</v>
      </c>
      <c r="J13" s="17"/>
      <c r="K13" s="17"/>
      <c r="L13" s="17">
        <f>-$J$8*Data!P21/100</f>
        <v>2358881.4352754969</v>
      </c>
      <c r="M13" s="17">
        <f t="shared" si="0"/>
        <v>12432149.100850077</v>
      </c>
      <c r="N13" s="17">
        <f t="shared" si="4"/>
        <v>6154766.5436660685</v>
      </c>
      <c r="O13" s="56">
        <f t="shared" si="1"/>
        <v>8513647.9789415654</v>
      </c>
      <c r="P13" s="56">
        <f t="shared" si="2"/>
        <v>5286305.5671442971</v>
      </c>
      <c r="Q13" s="57">
        <f t="shared" si="3"/>
        <v>6746208.9260715367</v>
      </c>
    </row>
    <row r="14" spans="1:21" x14ac:dyDescent="0.25">
      <c r="A14" s="7" t="s">
        <v>40</v>
      </c>
      <c r="B14" s="78">
        <f>VLOOKUP(B4,Data!F2:R9,10,FALSE)+0.4+B13</f>
        <v>1.9999999999999998</v>
      </c>
      <c r="C14" s="8" t="s">
        <v>7</v>
      </c>
      <c r="E14" s="7" t="s">
        <v>84</v>
      </c>
      <c r="F14" s="48">
        <f>IF(B26=B34,0,B34*Data!B14*B9*24)</f>
        <v>983.9642430487595</v>
      </c>
      <c r="G14" s="8" t="s">
        <v>17</v>
      </c>
      <c r="I14" s="20">
        <v>6</v>
      </c>
      <c r="J14" s="17"/>
      <c r="K14" s="17"/>
      <c r="L14" s="17">
        <f>-$J$8*Data!P22/100</f>
        <v>1885570.0843796546</v>
      </c>
      <c r="M14" s="17">
        <f t="shared" si="0"/>
        <v>12432149.100850077</v>
      </c>
      <c r="N14" s="17">
        <f>(M14-L14)*(1-$J$4)</f>
        <v>6443959.7790634288</v>
      </c>
      <c r="O14" s="56">
        <f t="shared" si="1"/>
        <v>8329529.8634430831</v>
      </c>
      <c r="P14" s="56">
        <f t="shared" si="2"/>
        <v>4701802.4575180188</v>
      </c>
      <c r="Q14" s="57">
        <f t="shared" si="3"/>
        <v>11448011.383589555</v>
      </c>
    </row>
    <row r="15" spans="1:21" x14ac:dyDescent="0.25">
      <c r="A15" s="7" t="s">
        <v>41</v>
      </c>
      <c r="B15" s="46">
        <v>90</v>
      </c>
      <c r="C15" s="8" t="s">
        <v>8</v>
      </c>
      <c r="E15" s="7" t="s">
        <v>53</v>
      </c>
      <c r="F15" s="48">
        <f>B23/1000*Data!B2</f>
        <v>7642.2058184976104</v>
      </c>
      <c r="G15" s="8" t="s">
        <v>17</v>
      </c>
      <c r="I15" s="20">
        <v>7</v>
      </c>
      <c r="J15" s="17"/>
      <c r="K15" s="17"/>
      <c r="L15" s="17">
        <f>-$J$8*Data!P23/100</f>
        <v>1675778.0261447402</v>
      </c>
      <c r="M15" s="17">
        <f t="shared" si="0"/>
        <v>12432149.100850077</v>
      </c>
      <c r="N15" s="17">
        <f t="shared" si="4"/>
        <v>6572142.7266449602</v>
      </c>
      <c r="O15" s="56">
        <f t="shared" si="1"/>
        <v>8247920.7527897004</v>
      </c>
      <c r="P15" s="56">
        <f t="shared" si="2"/>
        <v>4232487.4928175546</v>
      </c>
      <c r="Q15" s="57">
        <f t="shared" si="3"/>
        <v>15680498.876407109</v>
      </c>
    </row>
    <row r="16" spans="1:21" x14ac:dyDescent="0.25">
      <c r="A16" s="7" t="s">
        <v>62</v>
      </c>
      <c r="B16" s="23">
        <v>50</v>
      </c>
      <c r="C16" s="8" t="s">
        <v>8</v>
      </c>
      <c r="D16" t="s">
        <v>14</v>
      </c>
      <c r="E16" s="7" t="s">
        <v>105</v>
      </c>
      <c r="F16" s="48">
        <f>B33*Data!B21</f>
        <v>185.84628745115069</v>
      </c>
      <c r="G16" s="8" t="s">
        <v>17</v>
      </c>
      <c r="I16" s="20">
        <v>8</v>
      </c>
      <c r="J16" s="17"/>
      <c r="K16" s="17"/>
      <c r="L16" s="17">
        <f>-$J$8*Data!P24/100</f>
        <v>1675778.0261447402</v>
      </c>
      <c r="M16" s="17">
        <f t="shared" si="0"/>
        <v>12432149.100850077</v>
      </c>
      <c r="N16" s="17">
        <f t="shared" si="4"/>
        <v>6572142.7266449602</v>
      </c>
      <c r="O16" s="56">
        <f t="shared" si="1"/>
        <v>8247920.7527897004</v>
      </c>
      <c r="P16" s="56">
        <f t="shared" si="2"/>
        <v>3847715.9025614136</v>
      </c>
      <c r="Q16" s="57">
        <f t="shared" si="3"/>
        <v>19528214.778968524</v>
      </c>
      <c r="U16" s="65"/>
    </row>
    <row r="17" spans="1:24" x14ac:dyDescent="0.25">
      <c r="C17" s="8"/>
      <c r="E17" s="7" t="s">
        <v>96</v>
      </c>
      <c r="F17" s="48">
        <f>SUM(F11:F16)</f>
        <v>64779.57399757122</v>
      </c>
      <c r="G17" s="8" t="s">
        <v>17</v>
      </c>
      <c r="I17" s="20">
        <v>9</v>
      </c>
      <c r="J17" s="17"/>
      <c r="K17" s="17"/>
      <c r="L17" s="17">
        <f>-$J$8*Data!P25/100</f>
        <v>1678336.4658793125</v>
      </c>
      <c r="M17" s="17">
        <f t="shared" si="0"/>
        <v>12432149.100850077</v>
      </c>
      <c r="N17" s="17">
        <f t="shared" si="4"/>
        <v>6570579.5199671378</v>
      </c>
      <c r="O17" s="56">
        <f t="shared" si="1"/>
        <v>8248915.9858464506</v>
      </c>
      <c r="P17" s="56">
        <f t="shared" si="2"/>
        <v>3498345.6237521959</v>
      </c>
      <c r="Q17" s="57">
        <f t="shared" si="3"/>
        <v>23026560.40272072</v>
      </c>
    </row>
    <row r="18" spans="1:24" x14ac:dyDescent="0.25">
      <c r="A18" s="7" t="s">
        <v>61</v>
      </c>
      <c r="B18" s="23"/>
      <c r="C18" s="8"/>
      <c r="E18" s="7"/>
      <c r="F18" s="23"/>
      <c r="G18" s="8"/>
      <c r="I18" s="20">
        <v>10</v>
      </c>
      <c r="J18" s="17"/>
      <c r="K18" s="17"/>
      <c r="L18" s="17">
        <f>-$J$8*Data!P26/100</f>
        <v>1675778.0261447402</v>
      </c>
      <c r="M18" s="17">
        <f t="shared" si="0"/>
        <v>12432149.100850077</v>
      </c>
      <c r="N18" s="17">
        <f>(M18-L18)*(1-$J$4)</f>
        <v>6572142.7266449602</v>
      </c>
      <c r="O18" s="56">
        <f t="shared" si="1"/>
        <v>8247920.7527897004</v>
      </c>
      <c r="P18" s="56">
        <f t="shared" si="2"/>
        <v>3179930.4979846384</v>
      </c>
      <c r="Q18" s="57">
        <f t="shared" si="3"/>
        <v>26206490.90070536</v>
      </c>
    </row>
    <row r="19" spans="1:24" x14ac:dyDescent="0.25">
      <c r="A19" s="7" t="s">
        <v>114</v>
      </c>
      <c r="B19" s="24">
        <f>VLOOKUP(B4,Data!F3:M9,3,FALSE)</f>
        <v>12</v>
      </c>
      <c r="C19" s="8"/>
      <c r="E19" s="7" t="s">
        <v>86</v>
      </c>
      <c r="F19" s="48">
        <f>B3*B5</f>
        <v>100300.00000000001</v>
      </c>
      <c r="G19" s="8" t="s">
        <v>17</v>
      </c>
      <c r="I19" s="20">
        <v>11</v>
      </c>
      <c r="J19" s="17"/>
      <c r="K19" s="17"/>
      <c r="L19" s="17">
        <f>-$J$8*Data!P27/100</f>
        <v>839168.23293965624</v>
      </c>
      <c r="M19" s="17">
        <f t="shared" si="0"/>
        <v>12432149.100850077</v>
      </c>
      <c r="N19" s="17">
        <f t="shared" si="4"/>
        <v>7083311.3102932665</v>
      </c>
      <c r="O19" s="56">
        <f t="shared" si="1"/>
        <v>7922479.5432329224</v>
      </c>
      <c r="P19" s="56">
        <f t="shared" si="2"/>
        <v>2776780.7486692658</v>
      </c>
      <c r="Q19" s="57">
        <f t="shared" si="3"/>
        <v>28983271.649374627</v>
      </c>
    </row>
    <row r="20" spans="1:24" x14ac:dyDescent="0.25">
      <c r="A20" s="7" t="s">
        <v>47</v>
      </c>
      <c r="B20" s="48">
        <f>B3/24/3600*1000/VLOOKUP(B4,Data!F3:R9,6,FALSE)*B19*96485/(B15/100)</f>
        <v>32326661.94925566</v>
      </c>
      <c r="C20" s="8" t="s">
        <v>48</v>
      </c>
      <c r="E20" s="7"/>
      <c r="F20" s="48"/>
      <c r="G20" s="8"/>
      <c r="I20" s="20">
        <v>12</v>
      </c>
      <c r="J20" s="17"/>
      <c r="K20" s="17"/>
      <c r="L20" s="17"/>
      <c r="M20" s="17">
        <f t="shared" si="0"/>
        <v>12432149.100850077</v>
      </c>
      <c r="N20" s="17">
        <f t="shared" si="4"/>
        <v>7596043.1006193971</v>
      </c>
      <c r="O20" s="56">
        <f t="shared" si="1"/>
        <v>7596043.1006193971</v>
      </c>
      <c r="P20" s="56">
        <f t="shared" si="2"/>
        <v>2420333.4245134708</v>
      </c>
      <c r="Q20" s="57">
        <f t="shared" si="3"/>
        <v>31403605.073888097</v>
      </c>
    </row>
    <row r="21" spans="1:24" x14ac:dyDescent="0.25">
      <c r="A21" s="7" t="s">
        <v>95</v>
      </c>
      <c r="B21" s="48">
        <f>B20/B12/10^4</f>
        <v>10775.553983085221</v>
      </c>
      <c r="C21" s="8" t="s">
        <v>21</v>
      </c>
      <c r="E21" s="7" t="s">
        <v>87</v>
      </c>
      <c r="F21" s="48">
        <f>(F19-F17)*B7</f>
        <v>12432149.100850077</v>
      </c>
      <c r="G21" s="8" t="s">
        <v>88</v>
      </c>
      <c r="I21" s="20">
        <v>13</v>
      </c>
      <c r="J21" s="17"/>
      <c r="K21" s="17"/>
      <c r="L21" s="17"/>
      <c r="M21" s="17">
        <f t="shared" si="0"/>
        <v>12432149.100850077</v>
      </c>
      <c r="N21" s="17">
        <f>(M21-L21)*(1-$J$4)</f>
        <v>7596043.1006193971</v>
      </c>
      <c r="O21" s="56">
        <f t="shared" si="1"/>
        <v>7596043.1006193971</v>
      </c>
      <c r="P21" s="56">
        <f t="shared" si="2"/>
        <v>2200303.1131940642</v>
      </c>
      <c r="Q21" s="57">
        <f t="shared" si="3"/>
        <v>33603908.187082164</v>
      </c>
    </row>
    <row r="22" spans="1:24" x14ac:dyDescent="0.25">
      <c r="A22" s="7" t="s">
        <v>49</v>
      </c>
      <c r="B22" s="24">
        <f>B20*B14/10^6</f>
        <v>64.653323898511317</v>
      </c>
      <c r="C22" s="8" t="s">
        <v>50</v>
      </c>
      <c r="E22" s="7"/>
      <c r="F22" s="48"/>
      <c r="G22" s="8"/>
      <c r="I22" s="20">
        <v>14</v>
      </c>
      <c r="J22" s="17"/>
      <c r="K22" s="17"/>
      <c r="L22" s="17"/>
      <c r="M22" s="17">
        <f t="shared" si="0"/>
        <v>12432149.100850077</v>
      </c>
      <c r="N22" s="17">
        <f t="shared" si="4"/>
        <v>7596043.1006193971</v>
      </c>
      <c r="O22" s="56">
        <f>N22+L22+K22</f>
        <v>7596043.1006193971</v>
      </c>
      <c r="P22" s="56">
        <f t="shared" si="2"/>
        <v>2000275.557449149</v>
      </c>
      <c r="Q22" s="57">
        <f t="shared" si="3"/>
        <v>35604183.744531311</v>
      </c>
    </row>
    <row r="23" spans="1:24" x14ac:dyDescent="0.25">
      <c r="A23" s="7" t="s">
        <v>113</v>
      </c>
      <c r="B23" s="48">
        <f>B20*(B15/100)/96485/VLOOKUP(B4,Data!F3:R9,4,FALSE)*44/1000*3600*24</f>
        <v>191055.14546244027</v>
      </c>
      <c r="C23" s="8" t="s">
        <v>22</v>
      </c>
      <c r="E23" s="9" t="s">
        <v>89</v>
      </c>
      <c r="F23" s="49">
        <f>F8/F21</f>
        <v>2.0579223381395768</v>
      </c>
      <c r="G23" s="10" t="s">
        <v>5</v>
      </c>
      <c r="I23" s="20">
        <v>15</v>
      </c>
      <c r="J23" s="17"/>
      <c r="K23" s="17"/>
      <c r="L23" s="17"/>
      <c r="M23" s="17">
        <f t="shared" si="0"/>
        <v>12432149.100850077</v>
      </c>
      <c r="N23" s="17">
        <f t="shared" si="4"/>
        <v>7596043.1006193971</v>
      </c>
      <c r="O23" s="56">
        <f t="shared" ref="O23:O27" si="5">N23+L23+K23</f>
        <v>7596043.1006193971</v>
      </c>
      <c r="P23" s="56">
        <f t="shared" si="2"/>
        <v>1818432.3249537717</v>
      </c>
      <c r="Q23" s="57">
        <f t="shared" si="3"/>
        <v>37422616.069485083</v>
      </c>
    </row>
    <row r="24" spans="1:24" x14ac:dyDescent="0.25">
      <c r="A24" s="7" t="s">
        <v>65</v>
      </c>
      <c r="B24" s="48">
        <f>B23/(B16/100)/24</f>
        <v>15921.262121870022</v>
      </c>
      <c r="C24" s="8" t="s">
        <v>63</v>
      </c>
      <c r="I24" s="20">
        <v>16</v>
      </c>
      <c r="J24" s="17"/>
      <c r="K24" s="17"/>
      <c r="L24" s="17"/>
      <c r="M24" s="17">
        <f t="shared" si="0"/>
        <v>12432149.100850077</v>
      </c>
      <c r="N24" s="17">
        <f t="shared" si="4"/>
        <v>7596043.1006193971</v>
      </c>
      <c r="O24" s="56">
        <f t="shared" si="5"/>
        <v>7596043.1006193971</v>
      </c>
      <c r="P24" s="56">
        <f t="shared" si="2"/>
        <v>1653120.2954125197</v>
      </c>
      <c r="Q24" s="57">
        <f t="shared" si="3"/>
        <v>39075736.364897601</v>
      </c>
    </row>
    <row r="25" spans="1:24" x14ac:dyDescent="0.25">
      <c r="A25" s="7" t="s">
        <v>64</v>
      </c>
      <c r="B25" s="48">
        <f>B24-B23/24</f>
        <v>7960.6310609350112</v>
      </c>
      <c r="C25" s="8" t="s">
        <v>63</v>
      </c>
      <c r="I25" s="20">
        <v>17</v>
      </c>
      <c r="J25" s="17"/>
      <c r="K25" s="17"/>
      <c r="L25" s="17"/>
      <c r="M25" s="17">
        <f t="shared" si="0"/>
        <v>12432149.100850077</v>
      </c>
      <c r="N25" s="17">
        <f t="shared" si="4"/>
        <v>7596043.1006193971</v>
      </c>
      <c r="O25" s="56">
        <f t="shared" si="5"/>
        <v>7596043.1006193971</v>
      </c>
      <c r="P25" s="56">
        <f t="shared" si="2"/>
        <v>1502836.6321931996</v>
      </c>
      <c r="Q25" s="57">
        <f t="shared" si="3"/>
        <v>40578572.997090802</v>
      </c>
    </row>
    <row r="26" spans="1:24" x14ac:dyDescent="0.25">
      <c r="A26" s="7"/>
      <c r="B26" s="48">
        <f>B25/1.98</f>
        <v>4020.5207378459654</v>
      </c>
      <c r="C26" s="8" t="s">
        <v>56</v>
      </c>
      <c r="E26" s="1" t="s">
        <v>137</v>
      </c>
      <c r="F26" s="1" t="s">
        <v>121</v>
      </c>
      <c r="G26" s="1" t="s">
        <v>122</v>
      </c>
      <c r="I26" s="20">
        <v>18</v>
      </c>
      <c r="J26" s="17"/>
      <c r="K26" s="17"/>
      <c r="L26" s="17"/>
      <c r="M26" s="17">
        <f t="shared" si="0"/>
        <v>12432149.100850077</v>
      </c>
      <c r="N26" s="17">
        <f t="shared" si="4"/>
        <v>7596043.1006193971</v>
      </c>
      <c r="O26" s="56">
        <f t="shared" si="5"/>
        <v>7596043.1006193971</v>
      </c>
      <c r="P26" s="56">
        <f>O26*1/(1+$J$5)^ABS((--I26))</f>
        <v>1366215.1201756359</v>
      </c>
      <c r="Q26" s="57">
        <f t="shared" si="3"/>
        <v>41944788.117266439</v>
      </c>
    </row>
    <row r="27" spans="1:24" x14ac:dyDescent="0.25">
      <c r="A27" s="7" t="s">
        <v>66</v>
      </c>
      <c r="B27" s="24">
        <f>IF(B6="Liq",0,B3/VLOOKUP(B4,Data!F3:M9,7,FALSE)/24)</f>
        <v>0</v>
      </c>
      <c r="C27" s="8" t="s">
        <v>56</v>
      </c>
      <c r="E27" s="4" t="s">
        <v>126</v>
      </c>
      <c r="F27" s="33">
        <v>100</v>
      </c>
      <c r="G27" s="34">
        <v>100</v>
      </c>
      <c r="I27" s="20">
        <v>19</v>
      </c>
      <c r="J27" s="17"/>
      <c r="K27" s="17"/>
      <c r="L27" s="17"/>
      <c r="M27" s="17">
        <f t="shared" si="0"/>
        <v>12432149.100850077</v>
      </c>
      <c r="N27" s="17">
        <f t="shared" si="4"/>
        <v>7596043.1006193971</v>
      </c>
      <c r="O27" s="56">
        <f t="shared" si="5"/>
        <v>7596043.1006193971</v>
      </c>
      <c r="P27" s="56">
        <f t="shared" si="2"/>
        <v>1242013.7456142143</v>
      </c>
      <c r="Q27" s="57">
        <f t="shared" si="3"/>
        <v>43186801.862880655</v>
      </c>
      <c r="R27" s="44"/>
    </row>
    <row r="28" spans="1:24" x14ac:dyDescent="0.25">
      <c r="A28" s="7" t="s">
        <v>67</v>
      </c>
      <c r="B28" s="24">
        <f>IF(B6="Gas",0,B3/VLOOKUP(B4,Data!F3:M9,7,FALSE)/24)</f>
        <v>5.2809463455851287</v>
      </c>
      <c r="C28" s="8" t="s">
        <v>56</v>
      </c>
      <c r="E28" s="7" t="s">
        <v>128</v>
      </c>
      <c r="F28" s="23">
        <v>20</v>
      </c>
      <c r="G28" s="26">
        <v>20</v>
      </c>
      <c r="I28" s="21">
        <v>20</v>
      </c>
      <c r="J28" s="19"/>
      <c r="K28" s="19">
        <f>-K8+0.2*ABS(J8)</f>
        <v>6396099.3364303075</v>
      </c>
      <c r="L28" s="19"/>
      <c r="M28" s="19">
        <f t="shared" si="0"/>
        <v>12432149.100850077</v>
      </c>
      <c r="N28" s="19">
        <f>(M28-L28)*(1-$J$4)</f>
        <v>7596043.1006193971</v>
      </c>
      <c r="O28" s="58">
        <f>N28+L28+K28</f>
        <v>13992142.437049706</v>
      </c>
      <c r="P28" s="58">
        <f>O28*1/(1+$J$5)^ABS((--I28))</f>
        <v>2079842.8156736488</v>
      </c>
      <c r="Q28" s="32">
        <f>P28+Q27</f>
        <v>45266644.678554304</v>
      </c>
    </row>
    <row r="29" spans="1:24" x14ac:dyDescent="0.25">
      <c r="A29" s="7"/>
      <c r="B29" s="24">
        <f>B28*1000/60</f>
        <v>88.015772426418806</v>
      </c>
      <c r="C29" s="8" t="s">
        <v>24</v>
      </c>
      <c r="E29" s="7" t="s">
        <v>129</v>
      </c>
      <c r="F29" s="23">
        <v>350</v>
      </c>
      <c r="G29" s="26">
        <v>350</v>
      </c>
      <c r="H29" s="23"/>
      <c r="P29" t="s">
        <v>125</v>
      </c>
      <c r="Q29" s="63">
        <f>Q28/10^6</f>
        <v>45.266644678554307</v>
      </c>
      <c r="R29" s="35"/>
    </row>
    <row r="30" spans="1:24" x14ac:dyDescent="0.25">
      <c r="A30" s="7" t="s">
        <v>68</v>
      </c>
      <c r="B30" s="48">
        <f>B29/0.1</f>
        <v>880.157724264188</v>
      </c>
      <c r="C30" s="8" t="s">
        <v>24</v>
      </c>
      <c r="E30" s="7" t="s">
        <v>127</v>
      </c>
      <c r="F30" s="23">
        <v>0.05</v>
      </c>
      <c r="G30" s="26">
        <v>0.03</v>
      </c>
      <c r="H30" s="23"/>
      <c r="I30" s="39" t="s">
        <v>138</v>
      </c>
      <c r="J30" s="1" t="s">
        <v>140</v>
      </c>
      <c r="K30" s="1" t="s">
        <v>139</v>
      </c>
      <c r="L30" s="1" t="s">
        <v>141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7.25" x14ac:dyDescent="0.25">
      <c r="A31" s="7" t="s">
        <v>75</v>
      </c>
      <c r="B31" s="24">
        <f>B20*(100-B15)/100/2/96485</f>
        <v>16.752169741024851</v>
      </c>
      <c r="C31" s="8" t="s">
        <v>13</v>
      </c>
      <c r="E31" s="7" t="s">
        <v>130</v>
      </c>
      <c r="F31" s="23">
        <v>200</v>
      </c>
      <c r="G31" s="26">
        <v>300</v>
      </c>
      <c r="H31" s="23"/>
      <c r="I31" s="36" t="s">
        <v>144</v>
      </c>
      <c r="J31" s="23">
        <v>0.02</v>
      </c>
      <c r="K31" s="23">
        <v>0.03</v>
      </c>
      <c r="L31" s="26">
        <v>0.04</v>
      </c>
      <c r="O31" s="2"/>
      <c r="P31" s="2"/>
      <c r="Q31" s="17"/>
      <c r="R31" s="2"/>
      <c r="S31" s="2"/>
      <c r="T31" s="2"/>
      <c r="U31" s="2"/>
      <c r="V31" s="2"/>
      <c r="W31" s="2"/>
      <c r="X31" s="2"/>
    </row>
    <row r="32" spans="1:24" x14ac:dyDescent="0.25">
      <c r="A32" s="7"/>
      <c r="B32" s="48">
        <f>B31*2.008/1000/0.08375*3600</f>
        <v>1445.9472790915872</v>
      </c>
      <c r="C32" s="8" t="s">
        <v>56</v>
      </c>
      <c r="E32" s="7" t="s">
        <v>131</v>
      </c>
      <c r="F32" s="23">
        <v>2.2999999999999998</v>
      </c>
      <c r="G32" s="26">
        <v>2</v>
      </c>
      <c r="I32" s="36" t="s">
        <v>145</v>
      </c>
      <c r="J32" s="37" t="s">
        <v>142</v>
      </c>
      <c r="K32" s="23" t="s">
        <v>139</v>
      </c>
      <c r="L32" s="38" t="s">
        <v>143</v>
      </c>
      <c r="O32" s="11"/>
      <c r="P32" s="23"/>
      <c r="R32" s="23"/>
      <c r="S32" s="2"/>
      <c r="T32" s="2"/>
      <c r="U32" s="2"/>
      <c r="V32" s="2"/>
      <c r="W32" s="2"/>
      <c r="X32" s="2"/>
    </row>
    <row r="33" spans="1:44" x14ac:dyDescent="0.25">
      <c r="A33" s="7" t="s">
        <v>106</v>
      </c>
      <c r="B33" s="48">
        <f>B20/4/96485*18/1000*24*3600*0.2642</f>
        <v>34415.979157620495</v>
      </c>
      <c r="C33" s="8" t="s">
        <v>104</v>
      </c>
      <c r="E33" s="7" t="s">
        <v>132</v>
      </c>
      <c r="F33" s="23">
        <v>90</v>
      </c>
      <c r="G33" s="26">
        <v>90</v>
      </c>
      <c r="H33" s="23"/>
      <c r="I33" s="36" t="s">
        <v>146</v>
      </c>
      <c r="J33" s="23">
        <v>100</v>
      </c>
      <c r="K33" s="23">
        <v>90</v>
      </c>
      <c r="L33" s="26">
        <v>80</v>
      </c>
      <c r="O33" s="46"/>
      <c r="P33" s="2"/>
      <c r="Q33" s="2"/>
      <c r="R33" s="22"/>
      <c r="S33" s="2"/>
      <c r="T33" s="2"/>
      <c r="U33" s="2"/>
      <c r="V33" s="2"/>
      <c r="W33" s="2"/>
      <c r="X33" s="2"/>
    </row>
    <row r="34" spans="1:44" x14ac:dyDescent="0.25">
      <c r="A34" s="9" t="s">
        <v>115</v>
      </c>
      <c r="B34" s="67">
        <f>SUM(B26+B27+B32)</f>
        <v>5466.4680169375524</v>
      </c>
      <c r="C34" s="25" t="s">
        <v>56</v>
      </c>
      <c r="E34" s="7" t="s">
        <v>133</v>
      </c>
      <c r="F34" s="23">
        <v>50</v>
      </c>
      <c r="G34" s="26">
        <v>50</v>
      </c>
      <c r="I34" s="36" t="s">
        <v>147</v>
      </c>
      <c r="J34" s="23">
        <v>1.7</v>
      </c>
      <c r="K34" s="23">
        <v>2</v>
      </c>
      <c r="L34" s="26">
        <v>2.2999999999999998</v>
      </c>
      <c r="O34" s="46"/>
      <c r="P34" s="2"/>
      <c r="R34" s="22"/>
      <c r="S34" s="2"/>
      <c r="T34" s="2"/>
      <c r="U34" s="2"/>
      <c r="V34" s="2"/>
      <c r="W34" s="2"/>
      <c r="X34" s="2"/>
    </row>
    <row r="35" spans="1:44" ht="17.25" x14ac:dyDescent="0.25">
      <c r="A35" s="2"/>
      <c r="B35" s="2"/>
      <c r="C35" s="2"/>
      <c r="D35" s="2"/>
      <c r="E35" s="27" t="s">
        <v>134</v>
      </c>
      <c r="F35" s="23">
        <v>70</v>
      </c>
      <c r="G35" s="26">
        <v>40</v>
      </c>
      <c r="I35" s="36" t="s">
        <v>136</v>
      </c>
      <c r="J35" s="23">
        <v>460</v>
      </c>
      <c r="K35" s="23">
        <v>920</v>
      </c>
      <c r="L35" s="26">
        <v>1840</v>
      </c>
      <c r="O35" s="46"/>
      <c r="P35" s="2"/>
      <c r="R35" s="22"/>
      <c r="S35" s="2"/>
      <c r="T35" s="2"/>
      <c r="U35" s="2"/>
      <c r="V35" s="2"/>
      <c r="W35" s="2"/>
      <c r="X35" s="2"/>
    </row>
    <row r="36" spans="1:44" x14ac:dyDescent="0.25">
      <c r="A36" s="2"/>
      <c r="B36" s="2"/>
      <c r="C36" s="2"/>
      <c r="D36" s="2"/>
      <c r="E36" s="27" t="s">
        <v>135</v>
      </c>
      <c r="F36" s="23">
        <v>10</v>
      </c>
      <c r="G36" s="26">
        <v>10</v>
      </c>
      <c r="H36" s="3"/>
      <c r="I36" s="36" t="s">
        <v>148</v>
      </c>
      <c r="J36" s="23">
        <v>0</v>
      </c>
      <c r="K36" s="23">
        <v>40</v>
      </c>
      <c r="L36" s="26">
        <v>70</v>
      </c>
      <c r="O36" s="46"/>
      <c r="P36" s="2"/>
      <c r="Q36" s="2"/>
      <c r="R36" s="22"/>
      <c r="S36" s="2"/>
      <c r="T36" s="2"/>
      <c r="U36" s="2"/>
      <c r="V36" s="2"/>
      <c r="W36" s="2"/>
      <c r="X36" s="2"/>
    </row>
    <row r="37" spans="1:44" ht="17.25" x14ac:dyDescent="0.25">
      <c r="D37" s="2"/>
      <c r="E37" s="28" t="s">
        <v>136</v>
      </c>
      <c r="F37" s="31">
        <v>1840</v>
      </c>
      <c r="G37" s="32">
        <v>920</v>
      </c>
      <c r="I37" s="36" t="s">
        <v>149</v>
      </c>
      <c r="J37" s="23">
        <v>500</v>
      </c>
      <c r="K37" s="23">
        <v>300</v>
      </c>
      <c r="L37" s="26">
        <v>100</v>
      </c>
      <c r="N37" s="2"/>
      <c r="O37" s="46"/>
      <c r="P37" s="2"/>
      <c r="R37" s="22"/>
      <c r="S37" s="2"/>
      <c r="T37" s="2"/>
      <c r="U37" s="2"/>
      <c r="V37" s="2"/>
      <c r="W37" s="2"/>
      <c r="X37" s="2"/>
    </row>
    <row r="38" spans="1:44" x14ac:dyDescent="0.25">
      <c r="I38" s="43" t="s">
        <v>150</v>
      </c>
      <c r="J38" s="31">
        <v>70</v>
      </c>
      <c r="K38" s="31">
        <v>50</v>
      </c>
      <c r="L38" s="32">
        <v>30</v>
      </c>
      <c r="N38" s="46"/>
      <c r="O38" s="46"/>
      <c r="P38" s="2"/>
      <c r="Q38" s="2"/>
      <c r="R38" s="22"/>
      <c r="S38" s="2"/>
      <c r="T38" s="2"/>
      <c r="U38" s="2"/>
      <c r="V38" s="2"/>
      <c r="W38" s="2"/>
      <c r="X38" s="2"/>
    </row>
    <row r="39" spans="1:44" x14ac:dyDescent="0.25">
      <c r="N39" s="46"/>
      <c r="O39" s="46"/>
      <c r="P39" s="2"/>
      <c r="Q39" s="2"/>
      <c r="R39" s="22"/>
      <c r="S39" s="2"/>
      <c r="T39" s="2"/>
      <c r="U39" s="2"/>
      <c r="V39" s="2"/>
      <c r="W39" s="2"/>
      <c r="X39" s="2"/>
    </row>
    <row r="40" spans="1:44" x14ac:dyDescent="0.25">
      <c r="D40" s="2"/>
      <c r="N40" s="46"/>
      <c r="O40" s="46"/>
      <c r="P40" s="22"/>
      <c r="Q40" s="2"/>
      <c r="R40" s="22"/>
      <c r="S40" s="2"/>
      <c r="T40" s="2"/>
      <c r="U40" s="2"/>
      <c r="V40" s="2"/>
      <c r="W40" s="2"/>
      <c r="X40" s="2"/>
    </row>
    <row r="41" spans="1:44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46"/>
      <c r="O41" s="2"/>
      <c r="P41" s="2"/>
      <c r="Q41" s="29"/>
      <c r="R41" s="29"/>
      <c r="S41" s="2"/>
      <c r="T41" s="2"/>
      <c r="U41" s="2"/>
      <c r="V41" s="2"/>
      <c r="W41" s="2"/>
      <c r="X41" s="2"/>
    </row>
    <row r="42" spans="1:44" x14ac:dyDescent="0.25">
      <c r="D42" s="2"/>
      <c r="E42" s="11"/>
      <c r="F42" s="23"/>
      <c r="G42" s="23"/>
      <c r="H42" s="2"/>
      <c r="I42" s="11"/>
      <c r="J42" s="70"/>
      <c r="K42" s="71"/>
      <c r="L42" s="70"/>
      <c r="M42" s="71"/>
      <c r="N42" s="70"/>
      <c r="O42" s="71"/>
      <c r="P42" s="70"/>
      <c r="Q42" s="71"/>
      <c r="R42" s="70"/>
      <c r="S42" s="71"/>
      <c r="T42" s="70"/>
      <c r="U42" s="71"/>
      <c r="V42" s="70"/>
      <c r="W42" s="71"/>
      <c r="X42" s="70"/>
      <c r="Y42" s="71"/>
      <c r="Z42" s="70"/>
      <c r="AA42" s="71"/>
      <c r="AB42" s="70"/>
      <c r="AC42" s="71"/>
      <c r="AD42" s="70"/>
      <c r="AE42" s="71"/>
      <c r="AF42" s="70"/>
    </row>
    <row r="43" spans="1:44" x14ac:dyDescent="0.25">
      <c r="D43" s="2"/>
      <c r="E43" s="46"/>
      <c r="F43" s="2"/>
      <c r="G43" s="2"/>
      <c r="H43" s="2"/>
      <c r="I43" s="68"/>
      <c r="J43" s="72"/>
      <c r="K43" s="73"/>
      <c r="L43" s="74"/>
      <c r="M43" s="73"/>
      <c r="N43" s="73"/>
      <c r="O43" s="73"/>
      <c r="P43" s="75"/>
      <c r="Q43" s="75"/>
      <c r="R43" s="75"/>
      <c r="S43" s="73"/>
      <c r="T43" s="73"/>
      <c r="U43" s="73"/>
      <c r="V43" s="73"/>
      <c r="W43" s="73"/>
      <c r="X43" s="73"/>
      <c r="Y43" s="76"/>
      <c r="Z43" s="76"/>
      <c r="AA43" s="76"/>
      <c r="AB43" s="76"/>
      <c r="AC43" s="76"/>
      <c r="AD43" s="76"/>
      <c r="AE43" s="76"/>
      <c r="AF43" s="76"/>
    </row>
    <row r="44" spans="1:44" x14ac:dyDescent="0.25">
      <c r="D44" s="2"/>
      <c r="E44" s="46"/>
      <c r="F44" s="11"/>
      <c r="G44" s="2"/>
      <c r="H44" s="2"/>
      <c r="I44" s="69"/>
      <c r="J44" s="72"/>
      <c r="K44" s="73"/>
      <c r="L44" s="73"/>
      <c r="M44" s="73"/>
      <c r="N44" s="73"/>
      <c r="O44" s="72"/>
      <c r="P44" s="73"/>
      <c r="Q44" s="73"/>
      <c r="R44" s="73"/>
      <c r="S44" s="73"/>
      <c r="T44" s="73"/>
      <c r="U44" s="73"/>
      <c r="V44" s="73"/>
      <c r="W44" s="73"/>
      <c r="X44" s="73"/>
      <c r="Y44" s="76"/>
      <c r="Z44" s="76"/>
      <c r="AA44" s="76"/>
      <c r="AB44" s="76"/>
      <c r="AC44" s="76"/>
      <c r="AD44" s="76"/>
      <c r="AE44" s="76"/>
      <c r="AF44" s="76"/>
    </row>
    <row r="45" spans="1:44" x14ac:dyDescent="0.25">
      <c r="A45" s="23"/>
      <c r="B45" s="24"/>
      <c r="C45" s="24"/>
      <c r="D45" s="2"/>
      <c r="E45" s="46"/>
      <c r="F45" s="2"/>
      <c r="G45" s="2"/>
      <c r="H45" s="2"/>
      <c r="I45" s="69"/>
      <c r="J45" s="72"/>
      <c r="K45" s="73"/>
      <c r="L45" s="73"/>
      <c r="M45" s="73"/>
      <c r="N45" s="75"/>
      <c r="O45" s="72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6"/>
      <c r="AB45" s="73"/>
      <c r="AC45" s="76"/>
      <c r="AD45" s="73"/>
      <c r="AE45" s="76"/>
      <c r="AF45" s="73"/>
      <c r="AH45" s="11"/>
      <c r="AJ45" s="11"/>
      <c r="AL45" s="11"/>
      <c r="AN45" s="11"/>
      <c r="AP45" s="11"/>
      <c r="AR45" s="11"/>
    </row>
    <row r="46" spans="1:44" x14ac:dyDescent="0.25">
      <c r="A46" s="23"/>
      <c r="B46" s="24"/>
      <c r="C46" s="24"/>
      <c r="D46" s="2"/>
      <c r="E46" s="46"/>
      <c r="F46" s="2"/>
      <c r="G46" s="2"/>
      <c r="H46" s="2"/>
      <c r="I46" s="68"/>
      <c r="J46" s="72"/>
      <c r="K46" s="73"/>
      <c r="L46" s="73"/>
      <c r="M46" s="73"/>
      <c r="N46" s="75"/>
      <c r="O46" s="72"/>
      <c r="P46" s="73"/>
      <c r="Q46" s="73"/>
      <c r="R46" s="73"/>
      <c r="S46" s="75"/>
      <c r="T46" s="73"/>
      <c r="U46" s="73"/>
      <c r="V46" s="73"/>
      <c r="W46" s="73"/>
      <c r="X46" s="73"/>
      <c r="Y46" s="76"/>
      <c r="Z46" s="76"/>
      <c r="AA46" s="76"/>
      <c r="AB46" s="76"/>
      <c r="AC46" s="76"/>
      <c r="AD46" s="76"/>
      <c r="AE46" s="76"/>
      <c r="AF46" s="76"/>
    </row>
    <row r="47" spans="1:44" x14ac:dyDescent="0.25">
      <c r="A47" s="23"/>
      <c r="B47" s="24"/>
      <c r="C47" s="24"/>
      <c r="D47" s="2"/>
      <c r="E47" s="46"/>
      <c r="F47" s="2"/>
      <c r="G47" s="2"/>
      <c r="H47" s="2"/>
      <c r="I47" s="69"/>
      <c r="J47" s="72"/>
      <c r="K47" s="73"/>
      <c r="L47" s="73"/>
      <c r="M47" s="73"/>
      <c r="N47" s="75"/>
      <c r="O47" s="72"/>
      <c r="P47" s="73"/>
      <c r="Q47" s="73"/>
      <c r="R47" s="73"/>
      <c r="S47" s="75"/>
      <c r="T47" s="73"/>
      <c r="U47" s="73"/>
      <c r="V47" s="73"/>
      <c r="W47" s="73"/>
      <c r="X47" s="73"/>
      <c r="Y47" s="76"/>
      <c r="Z47" s="76"/>
      <c r="AA47" s="76"/>
      <c r="AB47" s="76"/>
      <c r="AC47" s="76"/>
      <c r="AD47" s="76"/>
      <c r="AE47" s="76"/>
      <c r="AF47" s="76"/>
    </row>
    <row r="48" spans="1:44" x14ac:dyDescent="0.25">
      <c r="A48" s="2"/>
      <c r="B48" s="2"/>
      <c r="C48" s="2"/>
      <c r="D48" s="2"/>
      <c r="E48" s="46"/>
      <c r="F48" s="2"/>
      <c r="G48" s="2"/>
      <c r="H48" s="2"/>
      <c r="I48" s="69"/>
      <c r="J48" s="72"/>
      <c r="K48" s="73"/>
      <c r="L48" s="73"/>
      <c r="M48" s="73"/>
      <c r="N48" s="75"/>
      <c r="O48" s="72"/>
      <c r="P48" s="73"/>
      <c r="Q48" s="73"/>
      <c r="R48" s="73"/>
      <c r="S48" s="75"/>
      <c r="T48" s="73"/>
      <c r="U48" s="73"/>
      <c r="V48" s="76"/>
      <c r="W48" s="76"/>
      <c r="X48" s="76"/>
      <c r="Y48" s="76"/>
      <c r="Z48" s="76"/>
      <c r="AA48" s="76"/>
      <c r="AB48" s="73"/>
      <c r="AC48" s="73"/>
      <c r="AD48" s="73"/>
      <c r="AE48" s="73"/>
      <c r="AF48" s="73"/>
      <c r="AG48" s="11"/>
    </row>
    <row r="49" spans="1:242" x14ac:dyDescent="0.25">
      <c r="A49" s="2"/>
      <c r="B49" s="2"/>
      <c r="C49" s="2"/>
      <c r="D49" s="2"/>
      <c r="E49" s="46"/>
      <c r="F49" s="2"/>
      <c r="G49" s="2"/>
      <c r="H49" s="2"/>
      <c r="I49" s="68"/>
      <c r="J49" s="72"/>
      <c r="K49" s="73"/>
      <c r="L49" s="73"/>
      <c r="M49" s="73"/>
      <c r="N49" s="73"/>
      <c r="O49" s="72"/>
      <c r="P49" s="73"/>
      <c r="Q49" s="73"/>
      <c r="R49" s="73"/>
      <c r="S49" s="75"/>
      <c r="T49" s="73"/>
      <c r="U49" s="73"/>
      <c r="V49" s="76"/>
      <c r="W49" s="76"/>
      <c r="X49" s="73"/>
      <c r="Y49" s="76"/>
      <c r="Z49" s="76"/>
      <c r="AA49" s="76"/>
      <c r="AB49" s="76"/>
      <c r="AC49" s="76"/>
      <c r="AD49" s="76"/>
      <c r="AE49" s="76"/>
      <c r="AF49" s="76"/>
    </row>
    <row r="50" spans="1:242" x14ac:dyDescent="0.25">
      <c r="A50" s="2"/>
      <c r="B50" s="2"/>
      <c r="C50" s="2"/>
      <c r="D50" s="2"/>
      <c r="E50" s="46"/>
      <c r="F50" s="2"/>
      <c r="G50" s="2"/>
      <c r="H50" s="2"/>
      <c r="I50" s="69"/>
      <c r="J50" s="72"/>
      <c r="K50" s="73"/>
      <c r="L50" s="73"/>
      <c r="M50" s="73"/>
      <c r="N50" s="75"/>
      <c r="O50" s="72"/>
      <c r="P50" s="73"/>
      <c r="Q50" s="73"/>
      <c r="R50" s="73"/>
      <c r="S50" s="75"/>
      <c r="T50" s="73"/>
      <c r="U50" s="73"/>
      <c r="V50" s="76"/>
      <c r="W50" s="76"/>
      <c r="X50" s="73"/>
      <c r="Y50" s="76"/>
      <c r="Z50" s="76"/>
      <c r="AA50" s="76"/>
      <c r="AB50" s="76"/>
      <c r="AC50" s="76"/>
      <c r="AD50" s="76"/>
      <c r="AE50" s="76"/>
      <c r="AF50" s="76"/>
    </row>
    <row r="51" spans="1:242" x14ac:dyDescent="0.25">
      <c r="A51" s="29"/>
      <c r="B51" s="24"/>
      <c r="C51" s="24"/>
      <c r="D51" s="24"/>
      <c r="E51" s="24"/>
      <c r="F51" s="24"/>
      <c r="G51" s="29"/>
      <c r="H51" s="29"/>
      <c r="I51" s="69"/>
      <c r="J51" s="75"/>
      <c r="K51" s="75"/>
      <c r="L51" s="75"/>
      <c r="M51" s="75"/>
      <c r="N51" s="75"/>
      <c r="O51" s="72"/>
      <c r="P51" s="73"/>
      <c r="Q51" s="73"/>
      <c r="R51" s="73"/>
      <c r="S51" s="75"/>
      <c r="T51" s="73"/>
      <c r="U51" s="73"/>
      <c r="V51" s="73"/>
      <c r="W51" s="73"/>
      <c r="X51" s="73"/>
      <c r="Y51" s="73"/>
      <c r="Z51" s="73"/>
      <c r="AA51" s="73"/>
      <c r="AB51" s="73"/>
      <c r="AC51" s="76"/>
      <c r="AD51" s="76"/>
      <c r="AE51" s="76"/>
      <c r="AF51" s="76"/>
    </row>
    <row r="52" spans="1:242" x14ac:dyDescent="0.25">
      <c r="A52" s="24"/>
      <c r="B52" s="24"/>
      <c r="C52" s="24"/>
      <c r="D52" s="24"/>
      <c r="E52" s="2"/>
      <c r="F52" s="24"/>
      <c r="G52" s="24"/>
      <c r="H52" s="24"/>
      <c r="I52" s="68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3"/>
      <c r="U52" s="73"/>
      <c r="V52" s="73"/>
      <c r="W52" s="73"/>
      <c r="X52" s="73"/>
      <c r="Y52" s="73"/>
      <c r="Z52" s="73"/>
      <c r="AA52" s="73"/>
      <c r="AB52" s="73"/>
      <c r="AC52" s="76"/>
      <c r="AD52" s="76"/>
      <c r="AE52" s="76"/>
      <c r="AF52" s="76"/>
    </row>
    <row r="53" spans="1:242" x14ac:dyDescent="0.25">
      <c r="A53" s="47"/>
      <c r="B53" s="24"/>
      <c r="C53" s="24"/>
      <c r="D53" s="24"/>
      <c r="E53" s="2"/>
      <c r="F53" s="24"/>
      <c r="G53" s="24"/>
      <c r="H53" s="24"/>
      <c r="I53" s="69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3"/>
      <c r="U53" s="73"/>
      <c r="V53" s="73"/>
      <c r="W53" s="73"/>
      <c r="X53" s="73"/>
      <c r="Y53" s="73"/>
      <c r="Z53" s="73"/>
      <c r="AA53" s="73"/>
      <c r="AB53" s="73"/>
      <c r="AC53" s="76"/>
      <c r="AD53" s="76"/>
      <c r="AE53" s="76"/>
      <c r="AF53" s="76"/>
    </row>
    <row r="54" spans="1:242" x14ac:dyDescent="0.25">
      <c r="A54" s="24"/>
      <c r="B54" s="24"/>
      <c r="C54" s="24"/>
      <c r="D54" s="24"/>
      <c r="E54" s="2"/>
      <c r="F54" s="24"/>
      <c r="G54" s="24"/>
      <c r="H54" s="24"/>
      <c r="I54" s="69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3"/>
      <c r="U54" s="73"/>
      <c r="V54" s="73"/>
      <c r="W54" s="73"/>
      <c r="X54" s="73"/>
      <c r="Y54" s="73"/>
      <c r="Z54" s="73"/>
      <c r="AA54" s="73"/>
      <c r="AB54" s="73"/>
      <c r="AC54" s="76"/>
      <c r="AD54" s="76"/>
      <c r="AE54" s="76"/>
      <c r="AF54" s="76"/>
    </row>
    <row r="55" spans="1:242" x14ac:dyDescent="0.25">
      <c r="A55" s="24"/>
      <c r="B55" s="24"/>
      <c r="C55" s="24"/>
      <c r="D55" s="24"/>
      <c r="F55" s="24"/>
      <c r="G55" s="24"/>
      <c r="H55" s="24"/>
      <c r="I55" s="68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3"/>
      <c r="U55" s="76"/>
      <c r="V55" s="73"/>
      <c r="W55" s="73"/>
      <c r="X55" s="73"/>
      <c r="Y55" s="73"/>
      <c r="Z55" s="73"/>
      <c r="AA55" s="73"/>
      <c r="AB55" s="73"/>
      <c r="AC55" s="76"/>
      <c r="AD55" s="76"/>
      <c r="AE55" s="76"/>
      <c r="AF55" s="76"/>
    </row>
    <row r="56" spans="1:242" x14ac:dyDescent="0.25">
      <c r="A56" s="24"/>
      <c r="B56" s="24"/>
      <c r="C56" s="24"/>
      <c r="D56" s="24"/>
      <c r="F56" s="24"/>
      <c r="G56" s="24"/>
      <c r="H56" s="24"/>
      <c r="I56" s="69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3"/>
      <c r="U56" s="76"/>
      <c r="V56" s="73"/>
      <c r="W56" s="73"/>
      <c r="X56" s="73"/>
      <c r="Y56" s="73"/>
      <c r="Z56" s="73"/>
      <c r="AA56" s="73"/>
      <c r="AB56" s="73"/>
      <c r="AC56" s="76"/>
      <c r="AD56" s="76"/>
      <c r="AE56" s="76"/>
      <c r="AF56" s="76"/>
    </row>
    <row r="57" spans="1:242" x14ac:dyDescent="0.25">
      <c r="A57" s="24"/>
      <c r="B57" s="24"/>
      <c r="C57" s="24"/>
      <c r="D57" s="24"/>
      <c r="F57" s="24"/>
      <c r="G57" s="24"/>
      <c r="H57" s="24"/>
      <c r="I57" s="69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3"/>
      <c r="U57" s="76"/>
      <c r="V57" s="73"/>
      <c r="W57" s="73"/>
      <c r="X57" s="73"/>
      <c r="Y57" s="73"/>
      <c r="Z57" s="73"/>
      <c r="AA57" s="73"/>
      <c r="AB57" s="73"/>
      <c r="AC57" s="76"/>
      <c r="AD57" s="76"/>
      <c r="AE57" s="76"/>
      <c r="AF57" s="76"/>
    </row>
    <row r="58" spans="1:242" x14ac:dyDescent="0.25">
      <c r="A58" s="29"/>
      <c r="B58" s="24"/>
      <c r="C58" s="24"/>
      <c r="D58" s="24"/>
      <c r="E58" s="45"/>
      <c r="F58" s="24"/>
      <c r="G58" s="29"/>
      <c r="H58" s="29"/>
      <c r="I58" s="68"/>
      <c r="J58" s="75"/>
      <c r="K58" s="75"/>
      <c r="L58" s="75"/>
      <c r="M58" s="75"/>
      <c r="N58" s="75"/>
      <c r="O58" s="72"/>
      <c r="P58" s="75"/>
      <c r="Q58" s="75"/>
      <c r="R58" s="75"/>
      <c r="S58" s="75"/>
      <c r="T58" s="73"/>
      <c r="U58" s="76"/>
      <c r="V58" s="73"/>
      <c r="W58" s="73"/>
      <c r="X58" s="73"/>
      <c r="Y58" s="73"/>
      <c r="Z58" s="73"/>
      <c r="AA58" s="73"/>
      <c r="AB58" s="73"/>
      <c r="AC58" s="76"/>
      <c r="AD58" s="76"/>
      <c r="AE58" s="76"/>
      <c r="AF58" s="76"/>
    </row>
    <row r="59" spans="1:242" x14ac:dyDescent="0.25">
      <c r="A59" s="24"/>
      <c r="B59" s="24"/>
      <c r="C59" s="24"/>
      <c r="D59" s="24"/>
      <c r="E59" s="24"/>
      <c r="F59" s="24"/>
      <c r="G59" s="24"/>
      <c r="H59" s="29"/>
      <c r="I59" s="69"/>
      <c r="J59" s="75"/>
      <c r="K59" s="75"/>
      <c r="L59" s="75"/>
      <c r="M59" s="75"/>
      <c r="N59" s="75"/>
      <c r="O59" s="72"/>
      <c r="P59" s="75"/>
      <c r="Q59" s="75"/>
      <c r="R59" s="75"/>
      <c r="S59" s="75"/>
      <c r="T59" s="73"/>
      <c r="U59" s="76"/>
      <c r="V59" s="73"/>
      <c r="W59" s="73"/>
      <c r="X59" s="73"/>
      <c r="Y59" s="73"/>
      <c r="Z59" s="73"/>
      <c r="AA59" s="73"/>
      <c r="AB59" s="73"/>
      <c r="AC59" s="76"/>
      <c r="AD59" s="76"/>
      <c r="AE59" s="76"/>
      <c r="AF59" s="76"/>
    </row>
    <row r="60" spans="1:242" x14ac:dyDescent="0.25">
      <c r="A60" s="47"/>
      <c r="B60" s="24"/>
      <c r="C60" s="24"/>
      <c r="D60" s="24"/>
      <c r="E60" s="24"/>
      <c r="F60" s="24"/>
      <c r="G60" s="24"/>
      <c r="H60" s="29"/>
      <c r="I60" s="69"/>
      <c r="J60" s="75"/>
      <c r="K60" s="75"/>
      <c r="L60" s="75"/>
      <c r="M60" s="75"/>
      <c r="N60" s="75"/>
      <c r="O60" s="72"/>
      <c r="P60" s="75"/>
      <c r="Q60" s="75"/>
      <c r="R60" s="75"/>
      <c r="S60" s="75"/>
      <c r="T60" s="73"/>
      <c r="U60" s="76"/>
      <c r="V60" s="73"/>
      <c r="W60" s="73"/>
      <c r="X60" s="73"/>
      <c r="Y60" s="73"/>
      <c r="Z60" s="73"/>
      <c r="AA60" s="73"/>
      <c r="AB60" s="73"/>
      <c r="AC60" s="76"/>
      <c r="AD60" s="76"/>
      <c r="AE60" s="76"/>
      <c r="AF60" s="76"/>
    </row>
    <row r="61" spans="1:242" x14ac:dyDescent="0.25">
      <c r="A61" s="24"/>
      <c r="B61" s="24"/>
      <c r="C61" s="24"/>
      <c r="D61" s="24"/>
      <c r="E61" s="24"/>
      <c r="F61" s="24"/>
      <c r="G61" s="24"/>
      <c r="H61" s="29"/>
      <c r="I61" s="68"/>
      <c r="J61" s="75"/>
      <c r="K61" s="75"/>
      <c r="L61" s="75"/>
      <c r="M61" s="75"/>
      <c r="N61" s="75"/>
      <c r="O61" s="72"/>
      <c r="P61" s="75"/>
      <c r="Q61" s="75"/>
      <c r="R61" s="75"/>
      <c r="S61" s="75"/>
      <c r="T61" s="77"/>
      <c r="U61" s="76"/>
      <c r="V61" s="73"/>
      <c r="W61" s="73"/>
      <c r="X61" s="73"/>
      <c r="Y61" s="73"/>
      <c r="Z61" s="73"/>
      <c r="AA61" s="73"/>
      <c r="AB61" s="73"/>
      <c r="AC61" s="76"/>
      <c r="AD61" s="76"/>
      <c r="AE61" s="76"/>
      <c r="AF61" s="76"/>
    </row>
    <row r="62" spans="1:242" x14ac:dyDescent="0.25">
      <c r="A62" s="24"/>
      <c r="B62" s="24"/>
      <c r="C62" s="24"/>
      <c r="D62" s="24"/>
      <c r="E62" s="24"/>
      <c r="F62" s="24"/>
      <c r="G62" s="24"/>
      <c r="H62" s="29"/>
      <c r="I62" s="69"/>
      <c r="J62" s="75"/>
      <c r="K62" s="75"/>
      <c r="L62" s="75"/>
      <c r="M62" s="75"/>
      <c r="N62" s="75"/>
      <c r="O62" s="72"/>
      <c r="P62" s="75"/>
      <c r="Q62" s="75"/>
      <c r="R62" s="75"/>
      <c r="S62" s="75"/>
      <c r="T62" s="77"/>
      <c r="U62" s="76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</row>
    <row r="63" spans="1:242" x14ac:dyDescent="0.25">
      <c r="A63" s="24"/>
      <c r="B63" s="24"/>
      <c r="C63" s="24"/>
      <c r="D63" s="24"/>
      <c r="E63" s="24"/>
      <c r="F63" s="24"/>
      <c r="G63" s="24"/>
      <c r="H63" s="29"/>
      <c r="I63" s="69"/>
      <c r="J63" s="75"/>
      <c r="K63" s="75"/>
      <c r="L63" s="75"/>
      <c r="M63" s="75"/>
      <c r="N63" s="75"/>
      <c r="O63" s="72"/>
      <c r="P63" s="75"/>
      <c r="Q63" s="75"/>
      <c r="R63" s="75"/>
      <c r="S63" s="75"/>
      <c r="T63" s="77"/>
      <c r="U63" s="76"/>
      <c r="V63" s="73"/>
      <c r="W63" s="73"/>
      <c r="X63" s="73"/>
      <c r="Y63" s="73"/>
      <c r="Z63" s="73"/>
      <c r="AA63" s="73"/>
      <c r="AB63" s="73"/>
      <c r="AC63" s="76"/>
      <c r="AD63" s="76"/>
      <c r="AE63" s="76"/>
      <c r="AF63" s="76"/>
    </row>
    <row r="64" spans="1:242" x14ac:dyDescent="0.25">
      <c r="A64" s="24"/>
      <c r="B64" s="24"/>
      <c r="C64" s="24"/>
      <c r="D64" s="24"/>
      <c r="E64" s="24"/>
      <c r="F64" s="24"/>
      <c r="G64" s="24"/>
      <c r="H64" s="29"/>
      <c r="I64" s="68"/>
      <c r="J64" s="73"/>
      <c r="K64" s="73"/>
      <c r="L64" s="73"/>
      <c r="M64" s="73"/>
      <c r="N64" s="75"/>
      <c r="O64" s="73"/>
      <c r="P64" s="73"/>
      <c r="Q64" s="73"/>
      <c r="R64" s="73"/>
      <c r="S64" s="73"/>
      <c r="T64" s="77"/>
      <c r="U64" s="76"/>
      <c r="V64" s="73"/>
      <c r="W64" s="73"/>
      <c r="X64" s="73"/>
      <c r="Y64" s="73"/>
      <c r="Z64" s="73"/>
      <c r="AA64" s="73"/>
      <c r="AB64" s="73"/>
      <c r="AC64" s="76"/>
      <c r="AD64" s="76"/>
      <c r="AE64" s="76"/>
      <c r="AF64" s="76"/>
    </row>
    <row r="65" spans="1:32" x14ac:dyDescent="0.25">
      <c r="A65" s="24"/>
      <c r="B65" s="24"/>
      <c r="C65" s="24"/>
      <c r="D65" s="24"/>
      <c r="E65" s="24"/>
      <c r="F65" s="24"/>
      <c r="G65" s="24"/>
      <c r="H65" s="29"/>
      <c r="I65" s="69"/>
      <c r="J65" s="73"/>
      <c r="K65" s="73"/>
      <c r="L65" s="73"/>
      <c r="M65" s="73"/>
      <c r="N65" s="75"/>
      <c r="O65" s="73"/>
      <c r="P65" s="73"/>
      <c r="Q65" s="73"/>
      <c r="R65" s="73"/>
      <c r="S65" s="73"/>
      <c r="T65" s="77"/>
      <c r="U65" s="76"/>
      <c r="V65" s="73"/>
      <c r="W65" s="73"/>
      <c r="X65" s="73"/>
      <c r="Y65" s="73"/>
      <c r="Z65" s="73"/>
      <c r="AA65" s="73"/>
      <c r="AB65" s="73"/>
      <c r="AC65" s="76"/>
      <c r="AD65" s="76"/>
      <c r="AE65" s="76"/>
      <c r="AF65" s="76"/>
    </row>
    <row r="66" spans="1:32" x14ac:dyDescent="0.25">
      <c r="E66" s="2"/>
      <c r="F66" s="2"/>
      <c r="G66" s="2"/>
      <c r="H66" s="29"/>
      <c r="I66" s="69"/>
      <c r="J66" s="73"/>
      <c r="K66" s="73"/>
      <c r="L66" s="73"/>
      <c r="M66" s="73"/>
      <c r="N66" s="75"/>
      <c r="O66" s="73"/>
      <c r="P66" s="73"/>
      <c r="Q66" s="73"/>
      <c r="R66" s="73"/>
      <c r="S66" s="73"/>
      <c r="T66" s="73"/>
      <c r="U66" s="76"/>
      <c r="V66" s="73"/>
      <c r="W66" s="73"/>
      <c r="X66" s="73"/>
      <c r="Y66" s="73"/>
      <c r="Z66" s="73"/>
      <c r="AA66" s="73"/>
      <c r="AB66" s="73"/>
      <c r="AC66" s="76"/>
      <c r="AD66" s="76"/>
      <c r="AE66" s="76"/>
      <c r="AF66" s="76"/>
    </row>
    <row r="67" spans="1:32" x14ac:dyDescent="0.25">
      <c r="E67" s="2"/>
      <c r="F67" s="2"/>
      <c r="G67" s="2"/>
      <c r="H67" s="2"/>
      <c r="I67" s="68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6"/>
      <c r="V67" s="73"/>
      <c r="W67" s="73"/>
      <c r="X67" s="73"/>
      <c r="Y67" s="73"/>
      <c r="Z67" s="73"/>
      <c r="AA67" s="73"/>
      <c r="AB67" s="73"/>
      <c r="AC67" s="76"/>
      <c r="AD67" s="76"/>
      <c r="AE67" s="76"/>
      <c r="AF67" s="76"/>
    </row>
    <row r="68" spans="1:32" x14ac:dyDescent="0.25">
      <c r="I68" s="69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</row>
    <row r="69" spans="1:32" x14ac:dyDescent="0.25">
      <c r="I69" s="69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</row>
    <row r="70" spans="1:32" x14ac:dyDescent="0.25">
      <c r="I70" s="68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</row>
    <row r="71" spans="1:32" x14ac:dyDescent="0.25">
      <c r="I71" s="69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</row>
    <row r="72" spans="1:32" x14ac:dyDescent="0.25">
      <c r="I72" s="69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</row>
    <row r="73" spans="1:32" x14ac:dyDescent="0.25">
      <c r="I73" s="68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</row>
    <row r="74" spans="1:32" x14ac:dyDescent="0.25">
      <c r="I74" s="69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</row>
    <row r="75" spans="1:32" x14ac:dyDescent="0.25">
      <c r="I75" s="69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</row>
  </sheetData>
  <sortState xmlns:xlrd2="http://schemas.microsoft.com/office/spreadsheetml/2017/richdata2" ref="O44:R51">
    <sortCondition ref="R4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282FFC-B7F8-4295-83D2-1E3E3273A516}">
          <x14:formula1>
            <xm:f>Data!$F$3:$F$9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zoomScale="90" zoomScaleNormal="90" workbookViewId="0"/>
  </sheetViews>
  <sheetFormatPr defaultRowHeight="15" x14ac:dyDescent="0.25"/>
  <cols>
    <col min="1" max="1" width="32.28515625" bestFit="1" customWidth="1"/>
    <col min="3" max="3" width="13.42578125" customWidth="1"/>
    <col min="6" max="6" width="17.140625" customWidth="1"/>
    <col min="7" max="7" width="20" customWidth="1"/>
    <col min="8" max="8" width="14.28515625" bestFit="1" customWidth="1"/>
    <col min="9" max="9" width="13" customWidth="1"/>
    <col min="10" max="10" width="10.42578125" customWidth="1"/>
    <col min="12" max="12" width="18.28515625" customWidth="1"/>
    <col min="14" max="14" width="9.28515625" customWidth="1"/>
    <col min="15" max="15" width="15.42578125" customWidth="1"/>
    <col min="16" max="16" width="16.140625" bestFit="1" customWidth="1"/>
    <col min="17" max="17" width="12" customWidth="1"/>
    <col min="18" max="18" width="12.140625" customWidth="1"/>
    <col min="19" max="19" width="12" bestFit="1" customWidth="1"/>
    <col min="20" max="20" width="16.28515625" bestFit="1" customWidth="1"/>
  </cols>
  <sheetData>
    <row r="1" spans="1:18" x14ac:dyDescent="0.25">
      <c r="A1" s="42" t="s">
        <v>151</v>
      </c>
      <c r="F1" s="54">
        <v>1</v>
      </c>
      <c r="G1" s="54">
        <v>2</v>
      </c>
      <c r="H1" s="54">
        <v>3</v>
      </c>
      <c r="I1" s="54">
        <v>4</v>
      </c>
      <c r="J1" s="54">
        <v>5</v>
      </c>
      <c r="K1" s="54">
        <v>6</v>
      </c>
      <c r="L1" s="54">
        <v>7</v>
      </c>
      <c r="M1" s="54">
        <v>8</v>
      </c>
      <c r="N1" s="54">
        <v>9</v>
      </c>
      <c r="O1" s="54">
        <v>10</v>
      </c>
      <c r="P1" s="54">
        <v>11</v>
      </c>
      <c r="Q1" s="54">
        <v>12</v>
      </c>
      <c r="R1" s="54">
        <v>13</v>
      </c>
    </row>
    <row r="2" spans="1:18" x14ac:dyDescent="0.25">
      <c r="A2" t="s">
        <v>71</v>
      </c>
      <c r="B2">
        <v>40</v>
      </c>
      <c r="C2" t="s">
        <v>12</v>
      </c>
      <c r="F2" s="54" t="s">
        <v>32</v>
      </c>
      <c r="G2" s="54" t="s">
        <v>10</v>
      </c>
      <c r="H2" s="54" t="s">
        <v>45</v>
      </c>
      <c r="I2" s="54" t="s">
        <v>46</v>
      </c>
      <c r="J2" s="54" t="s">
        <v>51</v>
      </c>
      <c r="K2" s="54" t="s">
        <v>50</v>
      </c>
      <c r="L2" s="54" t="s">
        <v>58</v>
      </c>
      <c r="M2" s="54" t="s">
        <v>59</v>
      </c>
      <c r="N2" s="54" t="s">
        <v>107</v>
      </c>
      <c r="O2" s="54" t="s">
        <v>108</v>
      </c>
      <c r="P2" s="54" t="s">
        <v>109</v>
      </c>
      <c r="Q2" s="54" t="s">
        <v>110</v>
      </c>
      <c r="R2" s="54" t="s">
        <v>111</v>
      </c>
    </row>
    <row r="3" spans="1:18" x14ac:dyDescent="0.25">
      <c r="F3" s="54" t="s">
        <v>25</v>
      </c>
      <c r="G3" s="54">
        <v>0.6</v>
      </c>
      <c r="H3" s="54">
        <v>2</v>
      </c>
      <c r="I3" s="54">
        <v>2</v>
      </c>
      <c r="J3" s="54">
        <v>1</v>
      </c>
      <c r="K3" s="54">
        <v>28.01</v>
      </c>
      <c r="L3" s="54">
        <v>1.1399999999999999</v>
      </c>
      <c r="M3" s="54" t="s">
        <v>60</v>
      </c>
      <c r="N3" s="54">
        <v>-0.106</v>
      </c>
      <c r="O3" s="54">
        <f>1.23-N3</f>
        <v>1.3360000000000001</v>
      </c>
      <c r="P3" s="54">
        <f>O3+0.4</f>
        <v>1.7360000000000002</v>
      </c>
      <c r="Q3" s="55">
        <f>G3-0.15*G3</f>
        <v>0.51</v>
      </c>
      <c r="R3" s="55">
        <f>G3*1.15</f>
        <v>0.69</v>
      </c>
    </row>
    <row r="4" spans="1:18" x14ac:dyDescent="0.25">
      <c r="A4" t="s">
        <v>116</v>
      </c>
      <c r="B4">
        <v>250.25</v>
      </c>
      <c r="C4" t="s">
        <v>117</v>
      </c>
      <c r="F4" s="54" t="s">
        <v>30</v>
      </c>
      <c r="G4" s="54">
        <f>(0.706+1.3)/2</f>
        <v>1.0030000000000001</v>
      </c>
      <c r="H4" s="54">
        <v>12</v>
      </c>
      <c r="I4" s="54">
        <v>6</v>
      </c>
      <c r="J4" s="54">
        <f>H4/I4</f>
        <v>2</v>
      </c>
      <c r="K4" s="54">
        <v>46.06</v>
      </c>
      <c r="L4" s="54">
        <v>789</v>
      </c>
      <c r="M4" s="54" t="s">
        <v>36</v>
      </c>
      <c r="N4" s="54">
        <v>8.4000000000000005E-2</v>
      </c>
      <c r="O4" s="54">
        <f t="shared" ref="O4:O9" si="0">1.23-N4</f>
        <v>1.1459999999999999</v>
      </c>
      <c r="P4" s="54">
        <f t="shared" ref="P4:P9" si="1">O4+0.4</f>
        <v>1.5459999999999998</v>
      </c>
      <c r="Q4" s="55">
        <f t="shared" ref="Q4:Q9" si="2">G4-0.15*G4</f>
        <v>0.85255000000000014</v>
      </c>
      <c r="R4" s="55">
        <f t="shared" ref="R4:R9" si="3">G4*1.15</f>
        <v>1.1534500000000001</v>
      </c>
    </row>
    <row r="5" spans="1:18" x14ac:dyDescent="0.25">
      <c r="A5" t="s">
        <v>118</v>
      </c>
      <c r="B5">
        <v>1.75</v>
      </c>
      <c r="C5" t="s">
        <v>7</v>
      </c>
      <c r="F5" s="54" t="s">
        <v>29</v>
      </c>
      <c r="G5" s="54">
        <f>(1.01+1.59)/2</f>
        <v>1.3</v>
      </c>
      <c r="H5" s="54">
        <v>12</v>
      </c>
      <c r="I5" s="54">
        <v>6</v>
      </c>
      <c r="J5" s="54">
        <f t="shared" ref="J5:J9" si="4">H5/I5</f>
        <v>2</v>
      </c>
      <c r="K5" s="54">
        <v>28.05</v>
      </c>
      <c r="L5" s="54">
        <v>1.18</v>
      </c>
      <c r="M5" s="54" t="s">
        <v>60</v>
      </c>
      <c r="N5" s="54">
        <v>6.4000000000000001E-2</v>
      </c>
      <c r="O5" s="54">
        <f t="shared" si="0"/>
        <v>1.1659999999999999</v>
      </c>
      <c r="P5" s="54">
        <f t="shared" si="1"/>
        <v>1.5659999999999998</v>
      </c>
      <c r="Q5" s="55">
        <f t="shared" si="2"/>
        <v>1.105</v>
      </c>
      <c r="R5" s="55">
        <f t="shared" si="3"/>
        <v>1.4949999999999999</v>
      </c>
    </row>
    <row r="6" spans="1:18" x14ac:dyDescent="0.25">
      <c r="A6" t="s">
        <v>119</v>
      </c>
      <c r="B6">
        <v>175</v>
      </c>
      <c r="C6" t="s">
        <v>9</v>
      </c>
      <c r="F6" s="54" t="s">
        <v>26</v>
      </c>
      <c r="G6" s="54">
        <f>(0.7+0.77)/2</f>
        <v>0.73499999999999999</v>
      </c>
      <c r="H6" s="54">
        <v>2</v>
      </c>
      <c r="I6" s="54">
        <v>2</v>
      </c>
      <c r="J6" s="54">
        <f t="shared" si="4"/>
        <v>1</v>
      </c>
      <c r="K6" s="54">
        <v>46.024999999999999</v>
      </c>
      <c r="L6" s="54">
        <v>1221</v>
      </c>
      <c r="M6" s="54" t="s">
        <v>36</v>
      </c>
      <c r="N6" s="54">
        <v>-0.25</v>
      </c>
      <c r="O6" s="54">
        <f t="shared" si="0"/>
        <v>1.48</v>
      </c>
      <c r="P6" s="54">
        <f t="shared" si="1"/>
        <v>1.88</v>
      </c>
      <c r="Q6" s="55">
        <f t="shared" si="2"/>
        <v>0.62475000000000003</v>
      </c>
      <c r="R6" s="55">
        <f t="shared" si="3"/>
        <v>0.84524999999999995</v>
      </c>
    </row>
    <row r="7" spans="1:18" x14ac:dyDescent="0.25">
      <c r="A7" t="s">
        <v>94</v>
      </c>
      <c r="B7" s="62">
        <f>B4*B5*B6/1000*10*1.2</f>
        <v>919.66874999999993</v>
      </c>
      <c r="C7" t="s">
        <v>93</v>
      </c>
      <c r="F7" s="54" t="s">
        <v>28</v>
      </c>
      <c r="G7" s="54">
        <v>0.18</v>
      </c>
      <c r="H7" s="54">
        <v>8</v>
      </c>
      <c r="I7" s="54">
        <v>8</v>
      </c>
      <c r="J7" s="54">
        <f t="shared" si="4"/>
        <v>1</v>
      </c>
      <c r="K7" s="54">
        <v>16.04</v>
      </c>
      <c r="L7" s="54">
        <v>0.65600000000000003</v>
      </c>
      <c r="M7" s="54" t="s">
        <v>60</v>
      </c>
      <c r="N7" s="54">
        <v>0.16900000000000001</v>
      </c>
      <c r="O7" s="54">
        <f t="shared" si="0"/>
        <v>1.0609999999999999</v>
      </c>
      <c r="P7" s="54">
        <f t="shared" si="1"/>
        <v>1.4609999999999999</v>
      </c>
      <c r="Q7" s="55">
        <f t="shared" si="2"/>
        <v>0.153</v>
      </c>
      <c r="R7" s="55">
        <f t="shared" si="3"/>
        <v>0.20699999999999999</v>
      </c>
    </row>
    <row r="8" spans="1:18" x14ac:dyDescent="0.25">
      <c r="A8" t="s">
        <v>72</v>
      </c>
      <c r="B8">
        <v>2.5</v>
      </c>
      <c r="C8" t="s">
        <v>73</v>
      </c>
      <c r="F8" s="54" t="s">
        <v>27</v>
      </c>
      <c r="G8" s="54">
        <f>(0.31+0.844)/2</f>
        <v>0.57699999999999996</v>
      </c>
      <c r="H8" s="54">
        <v>6</v>
      </c>
      <c r="I8" s="54">
        <v>6</v>
      </c>
      <c r="J8" s="54">
        <f t="shared" si="4"/>
        <v>1</v>
      </c>
      <c r="K8" s="54">
        <v>32.04</v>
      </c>
      <c r="L8" s="54">
        <v>792</v>
      </c>
      <c r="M8" s="54" t="s">
        <v>36</v>
      </c>
      <c r="N8" s="54">
        <v>1.6E-2</v>
      </c>
      <c r="O8" s="54">
        <f t="shared" si="0"/>
        <v>1.214</v>
      </c>
      <c r="P8" s="54">
        <f t="shared" si="1"/>
        <v>1.6139999999999999</v>
      </c>
      <c r="Q8" s="55">
        <f t="shared" si="2"/>
        <v>0.49044999999999994</v>
      </c>
      <c r="R8" s="55">
        <f t="shared" si="3"/>
        <v>0.66354999999999986</v>
      </c>
    </row>
    <row r="9" spans="1:18" x14ac:dyDescent="0.25">
      <c r="F9" s="54" t="s">
        <v>31</v>
      </c>
      <c r="G9" s="54">
        <f>(1.39+1.48)/2</f>
        <v>1.4350000000000001</v>
      </c>
      <c r="H9" s="54">
        <v>18</v>
      </c>
      <c r="I9" s="54">
        <v>6</v>
      </c>
      <c r="J9" s="54">
        <f t="shared" si="4"/>
        <v>3</v>
      </c>
      <c r="K9" s="54">
        <v>60.06</v>
      </c>
      <c r="L9" s="54">
        <v>803</v>
      </c>
      <c r="M9" s="54" t="s">
        <v>36</v>
      </c>
      <c r="N9" s="54">
        <v>9.5000000000000001E-2</v>
      </c>
      <c r="O9" s="54">
        <f t="shared" si="0"/>
        <v>1.135</v>
      </c>
      <c r="P9" s="54">
        <f t="shared" si="1"/>
        <v>1.5350000000000001</v>
      </c>
      <c r="Q9" s="55">
        <f t="shared" si="2"/>
        <v>1.2197500000000001</v>
      </c>
      <c r="R9" s="55">
        <f t="shared" si="3"/>
        <v>1.65025</v>
      </c>
    </row>
    <row r="11" spans="1:18" x14ac:dyDescent="0.25">
      <c r="A11" t="s">
        <v>74</v>
      </c>
      <c r="B11">
        <v>0.7</v>
      </c>
    </row>
    <row r="12" spans="1:18" x14ac:dyDescent="0.25">
      <c r="A12" t="s">
        <v>76</v>
      </c>
      <c r="B12">
        <v>1989043</v>
      </c>
      <c r="C12" t="s">
        <v>11</v>
      </c>
    </row>
    <row r="13" spans="1:18" x14ac:dyDescent="0.25">
      <c r="A13" t="s">
        <v>77</v>
      </c>
      <c r="B13">
        <v>1000</v>
      </c>
      <c r="C13" t="s">
        <v>56</v>
      </c>
    </row>
    <row r="14" spans="1:18" x14ac:dyDescent="0.25">
      <c r="A14" t="s">
        <v>78</v>
      </c>
      <c r="B14">
        <v>0.25</v>
      </c>
      <c r="C14" t="s">
        <v>57</v>
      </c>
    </row>
    <row r="15" spans="1:18" x14ac:dyDescent="0.25">
      <c r="F15" s="4" t="s">
        <v>97</v>
      </c>
      <c r="G15" s="5" t="s">
        <v>99</v>
      </c>
      <c r="H15" s="6" t="s">
        <v>100</v>
      </c>
      <c r="K15" t="s">
        <v>1</v>
      </c>
      <c r="O15" t="s">
        <v>101</v>
      </c>
    </row>
    <row r="16" spans="1:18" x14ac:dyDescent="0.25">
      <c r="A16" t="s">
        <v>79</v>
      </c>
      <c r="B16">
        <v>0.7</v>
      </c>
      <c r="F16" s="7" t="s">
        <v>30</v>
      </c>
      <c r="G16" s="50">
        <v>4162240</v>
      </c>
      <c r="H16" s="51">
        <v>3463310</v>
      </c>
      <c r="K16" t="s">
        <v>2</v>
      </c>
      <c r="L16" t="s">
        <v>3</v>
      </c>
      <c r="O16" t="s">
        <v>2</v>
      </c>
    </row>
    <row r="17" spans="1:16" x14ac:dyDescent="0.25">
      <c r="A17" t="s">
        <v>80</v>
      </c>
      <c r="B17">
        <f>IF(Analysis!B6="Liq",VLOOKUP(Analysis!B4,Data!F16:H19,2,FALSE),0)</f>
        <v>4162240</v>
      </c>
      <c r="C17" t="s">
        <v>11</v>
      </c>
      <c r="F17" s="7" t="s">
        <v>98</v>
      </c>
      <c r="G17" s="50">
        <v>6896190</v>
      </c>
      <c r="H17" s="51">
        <v>11213200</v>
      </c>
      <c r="K17">
        <v>1</v>
      </c>
      <c r="L17">
        <v>20</v>
      </c>
      <c r="O17">
        <v>1</v>
      </c>
      <c r="P17">
        <v>10</v>
      </c>
    </row>
    <row r="18" spans="1:16" x14ac:dyDescent="0.25">
      <c r="A18" t="s">
        <v>81</v>
      </c>
      <c r="B18">
        <v>1000</v>
      </c>
      <c r="C18" t="s">
        <v>24</v>
      </c>
      <c r="F18" s="7" t="s">
        <v>27</v>
      </c>
      <c r="G18" s="50">
        <v>4514670</v>
      </c>
      <c r="H18" s="51">
        <v>4027820</v>
      </c>
      <c r="K18">
        <v>2</v>
      </c>
      <c r="L18">
        <v>32</v>
      </c>
      <c r="O18">
        <v>2</v>
      </c>
      <c r="P18">
        <v>18</v>
      </c>
    </row>
    <row r="19" spans="1:16" x14ac:dyDescent="0.25">
      <c r="A19" t="s">
        <v>82</v>
      </c>
      <c r="B19">
        <f>IF(Analysis!B6="Liq",VLOOKUP(Analysis!B4,Data!F16:H19,3,FALSE),0)/Analysis!B7</f>
        <v>9895.1714285714279</v>
      </c>
      <c r="C19" t="s">
        <v>17</v>
      </c>
      <c r="F19" s="9" t="s">
        <v>31</v>
      </c>
      <c r="G19" s="52">
        <v>4687910</v>
      </c>
      <c r="H19" s="53">
        <v>5610420</v>
      </c>
      <c r="K19">
        <v>3</v>
      </c>
      <c r="L19">
        <v>19.2</v>
      </c>
      <c r="O19">
        <v>3</v>
      </c>
      <c r="P19">
        <v>14.4</v>
      </c>
    </row>
    <row r="20" spans="1:16" x14ac:dyDescent="0.25">
      <c r="G20" s="40"/>
      <c r="H20" s="40"/>
      <c r="K20">
        <v>4</v>
      </c>
      <c r="L20">
        <v>11.52</v>
      </c>
      <c r="O20">
        <v>4</v>
      </c>
      <c r="P20">
        <v>11.52</v>
      </c>
    </row>
    <row r="21" spans="1:16" x14ac:dyDescent="0.25">
      <c r="A21" t="s">
        <v>102</v>
      </c>
      <c r="B21">
        <v>5.4000000000000003E-3</v>
      </c>
      <c r="C21" t="s">
        <v>103</v>
      </c>
      <c r="K21">
        <v>5</v>
      </c>
      <c r="L21">
        <v>11.52</v>
      </c>
      <c r="O21">
        <v>5</v>
      </c>
      <c r="P21">
        <v>9.2200000000000006</v>
      </c>
    </row>
    <row r="22" spans="1:16" x14ac:dyDescent="0.25">
      <c r="K22">
        <v>6</v>
      </c>
      <c r="L22">
        <v>5.76</v>
      </c>
      <c r="O22">
        <v>6</v>
      </c>
      <c r="P22">
        <v>7.37</v>
      </c>
    </row>
    <row r="23" spans="1:16" x14ac:dyDescent="0.25">
      <c r="O23">
        <v>7</v>
      </c>
      <c r="P23">
        <v>6.55</v>
      </c>
    </row>
    <row r="24" spans="1:16" x14ac:dyDescent="0.25">
      <c r="F24" s="59" t="s">
        <v>152</v>
      </c>
      <c r="G24" s="34"/>
      <c r="O24">
        <v>8</v>
      </c>
      <c r="P24">
        <v>6.55</v>
      </c>
    </row>
    <row r="25" spans="1:16" x14ac:dyDescent="0.25">
      <c r="F25" s="60" t="s">
        <v>153</v>
      </c>
      <c r="G25" s="26" t="s">
        <v>15</v>
      </c>
      <c r="O25">
        <v>9</v>
      </c>
      <c r="P25">
        <v>6.56</v>
      </c>
    </row>
    <row r="26" spans="1:16" x14ac:dyDescent="0.25">
      <c r="F26" s="60" t="s">
        <v>20</v>
      </c>
      <c r="G26" s="26">
        <v>820</v>
      </c>
      <c r="O26">
        <v>10</v>
      </c>
      <c r="P26">
        <v>6.55</v>
      </c>
    </row>
    <row r="27" spans="1:16" x14ac:dyDescent="0.25">
      <c r="F27" s="60" t="s">
        <v>18</v>
      </c>
      <c r="G27" s="26">
        <v>12</v>
      </c>
      <c r="O27">
        <v>11</v>
      </c>
      <c r="P27">
        <v>3.28</v>
      </c>
    </row>
    <row r="28" spans="1:16" x14ac:dyDescent="0.25">
      <c r="F28" s="60" t="s">
        <v>16</v>
      </c>
      <c r="G28" s="26">
        <v>12</v>
      </c>
    </row>
    <row r="29" spans="1:16" x14ac:dyDescent="0.25">
      <c r="F29" s="60" t="s">
        <v>19</v>
      </c>
      <c r="G29" s="26">
        <v>41</v>
      </c>
    </row>
    <row r="30" spans="1:16" x14ac:dyDescent="0.25">
      <c r="F30" s="60" t="s">
        <v>90</v>
      </c>
      <c r="G30" s="26">
        <v>200</v>
      </c>
    </row>
    <row r="31" spans="1:16" x14ac:dyDescent="0.25">
      <c r="F31" s="61" t="s">
        <v>60</v>
      </c>
      <c r="G31" s="32">
        <v>490</v>
      </c>
    </row>
  </sheetData>
  <sortState xmlns:xlrd2="http://schemas.microsoft.com/office/spreadsheetml/2017/richdata2" ref="F16:H19">
    <sortCondition ref="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Jouny</dc:creator>
  <cp:keywords/>
  <dc:description/>
  <cp:lastModifiedBy>Jouny</cp:lastModifiedBy>
  <cp:revision/>
  <dcterms:created xsi:type="dcterms:W3CDTF">2016-12-19T23:53:46Z</dcterms:created>
  <dcterms:modified xsi:type="dcterms:W3CDTF">2020-01-24T19:03:39Z</dcterms:modified>
  <cp:category/>
  <cp:contentStatus/>
</cp:coreProperties>
</file>