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hannie/Public/Dropbox/2020 TEA/Submission/Files for final submission/Data availability/"/>
    </mc:Choice>
  </mc:AlternateContent>
  <xr:revisionPtr revIDLastSave="0" documentId="13_ncr:1_{615F8BF1-AD72-8C46-A292-DC83EC317848}" xr6:coauthVersionLast="46" xr6:coauthVersionMax="46" xr10:uidLastSave="{00000000-0000-0000-0000-000000000000}"/>
  <bookViews>
    <workbookView xWindow="0" yWindow="500" windowWidth="28800" windowHeight="16120" xr2:uid="{E01F11BD-8CF1-3247-93D9-EA5A98D2707D}"/>
  </bookViews>
  <sheets>
    <sheet name="Legends" sheetId="8" r:id="rId1"/>
    <sheet name="Sheet1" sheetId="2" r:id="rId2"/>
    <sheet name="Sheet2" sheetId="4" r:id="rId3"/>
    <sheet name="Sheet3" sheetId="9" r:id="rId4"/>
    <sheet name="Sheet4" sheetId="10" r:id="rId5"/>
    <sheet name="Sheet5" sheetId="1" r:id="rId6"/>
  </sheets>
  <definedNames>
    <definedName name="solver_adj" localSheetId="1" hidden="1">Sheet1!$K$5</definedName>
    <definedName name="solver_adj" localSheetId="3" hidden="1">Sheet3!$K$5</definedName>
    <definedName name="solver_cvg" localSheetId="1" hidden="1">0.0001</definedName>
    <definedName name="solver_cvg" localSheetId="3" hidden="1">0.0001</definedName>
    <definedName name="solver_drv" localSheetId="1" hidden="1">1</definedName>
    <definedName name="solver_drv" localSheetId="3" hidden="1">1</definedName>
    <definedName name="solver_eng" localSheetId="1" hidden="1">1</definedName>
    <definedName name="solver_eng" localSheetId="3" hidden="1">1</definedName>
    <definedName name="solver_est" localSheetId="1" hidden="1">1</definedName>
    <definedName name="solver_est" localSheetId="3" hidden="1">1</definedName>
    <definedName name="solver_itr" localSheetId="1" hidden="1">2147483647</definedName>
    <definedName name="solver_itr" localSheetId="3" hidden="1">2147483647</definedName>
    <definedName name="solver_mip" localSheetId="1" hidden="1">2147483647</definedName>
    <definedName name="solver_mip" localSheetId="3" hidden="1">2147483647</definedName>
    <definedName name="solver_mni" localSheetId="1" hidden="1">30</definedName>
    <definedName name="solver_mni" localSheetId="3" hidden="1">30</definedName>
    <definedName name="solver_mrt" localSheetId="1" hidden="1">0.075</definedName>
    <definedName name="solver_mrt" localSheetId="3" hidden="1">0.075</definedName>
    <definedName name="solver_msl" localSheetId="1" hidden="1">2</definedName>
    <definedName name="solver_msl" localSheetId="3" hidden="1">2</definedName>
    <definedName name="solver_neg" localSheetId="1" hidden="1">1</definedName>
    <definedName name="solver_neg" localSheetId="3" hidden="1">1</definedName>
    <definedName name="solver_nod" localSheetId="1" hidden="1">2147483647</definedName>
    <definedName name="solver_nod" localSheetId="3" hidden="1">2147483647</definedName>
    <definedName name="solver_num" localSheetId="1" hidden="1">0</definedName>
    <definedName name="solver_num" localSheetId="3" hidden="1">0</definedName>
    <definedName name="solver_nwt" localSheetId="1" hidden="1">1</definedName>
    <definedName name="solver_nwt" localSheetId="3" hidden="1">1</definedName>
    <definedName name="solver_opt" localSheetId="1" hidden="1">Sheet1!$R$29</definedName>
    <definedName name="solver_opt" localSheetId="3" hidden="1">Sheet3!$R$29</definedName>
    <definedName name="solver_pre" localSheetId="1" hidden="1">0.000001</definedName>
    <definedName name="solver_pre" localSheetId="3" hidden="1">0.000001</definedName>
    <definedName name="solver_rbv" localSheetId="1" hidden="1">1</definedName>
    <definedName name="solver_rbv" localSheetId="3" hidden="1">1</definedName>
    <definedName name="solver_rlx" localSheetId="1" hidden="1">2</definedName>
    <definedName name="solver_rlx" localSheetId="3" hidden="1">2</definedName>
    <definedName name="solver_rsd" localSheetId="1" hidden="1">0</definedName>
    <definedName name="solver_rsd" localSheetId="3" hidden="1">0</definedName>
    <definedName name="solver_scl" localSheetId="1" hidden="1">1</definedName>
    <definedName name="solver_scl" localSheetId="3" hidden="1">1</definedName>
    <definedName name="solver_sho" localSheetId="1" hidden="1">2</definedName>
    <definedName name="solver_sho" localSheetId="3" hidden="1">2</definedName>
    <definedName name="solver_ssz" localSheetId="1" hidden="1">100</definedName>
    <definedName name="solver_ssz" localSheetId="3" hidden="1">100</definedName>
    <definedName name="solver_tim" localSheetId="1" hidden="1">2147483647</definedName>
    <definedName name="solver_tim" localSheetId="3" hidden="1">2147483647</definedName>
    <definedName name="solver_tol" localSheetId="1" hidden="1">0.01</definedName>
    <definedName name="solver_tol" localSheetId="3" hidden="1">0.01</definedName>
    <definedName name="solver_typ" localSheetId="1" hidden="1">3</definedName>
    <definedName name="solver_typ" localSheetId="3" hidden="1">3</definedName>
    <definedName name="solver_val" localSheetId="1" hidden="1">0</definedName>
    <definedName name="solver_val" localSheetId="3" hidden="1">0</definedName>
    <definedName name="solver_ver" localSheetId="1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" l="1"/>
  <c r="C18" i="9" l="1"/>
  <c r="C19" i="9" s="1"/>
  <c r="C22" i="9" s="1"/>
  <c r="G15" i="9" s="1"/>
  <c r="C15" i="9"/>
  <c r="C14" i="9"/>
  <c r="C13" i="9"/>
  <c r="C12" i="9"/>
  <c r="C6" i="9"/>
  <c r="C32" i="9" s="1"/>
  <c r="C5" i="9"/>
  <c r="G22" i="9" s="1"/>
  <c r="C27" i="9" l="1"/>
  <c r="C28" i="9"/>
  <c r="C29" i="9" s="1"/>
  <c r="C33" i="9"/>
  <c r="C34" i="9" s="1"/>
  <c r="C35" i="9" l="1"/>
  <c r="G16" i="9" s="1"/>
  <c r="C20" i="9"/>
  <c r="C21" i="9"/>
  <c r="G11" i="9" s="1"/>
  <c r="G18" i="9" l="1"/>
  <c r="G4" i="9"/>
  <c r="G17" i="9" s="1"/>
  <c r="C23" i="9"/>
  <c r="C25" i="9" s="1"/>
  <c r="C26" i="9" s="1"/>
  <c r="C30" i="9" s="1"/>
  <c r="C5" i="2"/>
  <c r="G5" i="9" l="1"/>
  <c r="G12" i="9"/>
  <c r="G7" i="9"/>
  <c r="G14" i="9"/>
  <c r="C19" i="2"/>
  <c r="C6" i="2"/>
  <c r="C33" i="2" s="1"/>
  <c r="C28" i="2" l="1"/>
  <c r="C15" i="2" l="1"/>
  <c r="C16" i="2" s="1"/>
  <c r="C14" i="2"/>
  <c r="C20" i="2" s="1"/>
  <c r="C29" i="2" s="1"/>
  <c r="C13" i="2"/>
  <c r="C12" i="2"/>
  <c r="G23" i="2"/>
  <c r="J6" i="1"/>
  <c r="G6" i="1"/>
  <c r="J5" i="1"/>
  <c r="G5" i="1"/>
  <c r="J4" i="1"/>
  <c r="G4" i="1"/>
  <c r="C34" i="2" l="1"/>
  <c r="C35" i="2" s="1"/>
  <c r="C21" i="1"/>
  <c r="G13" i="9" s="1"/>
  <c r="G20" i="9" s="1"/>
  <c r="G23" i="9" s="1"/>
  <c r="C19" i="1"/>
  <c r="C37" i="2"/>
  <c r="G6" i="2" l="1"/>
  <c r="G6" i="9"/>
  <c r="G8" i="9" s="1"/>
  <c r="N16" i="9"/>
  <c r="N27" i="9"/>
  <c r="O27" i="9" s="1"/>
  <c r="P27" i="9" s="1"/>
  <c r="Q27" i="9" s="1"/>
  <c r="N20" i="9"/>
  <c r="O20" i="9" s="1"/>
  <c r="P20" i="9" s="1"/>
  <c r="Q20" i="9" s="1"/>
  <c r="N28" i="9"/>
  <c r="O28" i="9" s="1"/>
  <c r="N10" i="9"/>
  <c r="N24" i="9"/>
  <c r="O24" i="9" s="1"/>
  <c r="P24" i="9" s="1"/>
  <c r="Q24" i="9" s="1"/>
  <c r="N11" i="9"/>
  <c r="N25" i="9"/>
  <c r="O25" i="9" s="1"/>
  <c r="P25" i="9" s="1"/>
  <c r="Q25" i="9" s="1"/>
  <c r="N17" i="9"/>
  <c r="N19" i="9"/>
  <c r="N23" i="9"/>
  <c r="O23" i="9" s="1"/>
  <c r="P23" i="9" s="1"/>
  <c r="Q23" i="9" s="1"/>
  <c r="N22" i="9"/>
  <c r="O22" i="9" s="1"/>
  <c r="P22" i="9" s="1"/>
  <c r="Q22" i="9" s="1"/>
  <c r="N12" i="9"/>
  <c r="N21" i="9"/>
  <c r="O21" i="9" s="1"/>
  <c r="P21" i="9" s="1"/>
  <c r="Q21" i="9" s="1"/>
  <c r="N13" i="9"/>
  <c r="N26" i="9"/>
  <c r="O26" i="9" s="1"/>
  <c r="P26" i="9" s="1"/>
  <c r="Q26" i="9" s="1"/>
  <c r="N14" i="9"/>
  <c r="N15" i="9"/>
  <c r="N18" i="9"/>
  <c r="N9" i="9"/>
  <c r="C38" i="2"/>
  <c r="C23" i="2"/>
  <c r="G13" i="2"/>
  <c r="C41" i="2"/>
  <c r="G17" i="2" s="1"/>
  <c r="C30" i="2"/>
  <c r="C21" i="2"/>
  <c r="G4" i="2" s="1"/>
  <c r="G5" i="2" s="1"/>
  <c r="C22" i="2"/>
  <c r="G11" i="2" s="1"/>
  <c r="G16" i="2" l="1"/>
  <c r="C24" i="2"/>
  <c r="C26" i="2" s="1"/>
  <c r="K3" i="9"/>
  <c r="K8" i="9" s="1"/>
  <c r="G25" i="9"/>
  <c r="G19" i="2"/>
  <c r="G18" i="2"/>
  <c r="M12" i="9" l="1"/>
  <c r="O12" i="9" s="1"/>
  <c r="P12" i="9" s="1"/>
  <c r="Q12" i="9" s="1"/>
  <c r="M16" i="9"/>
  <c r="O16" i="9" s="1"/>
  <c r="P16" i="9" s="1"/>
  <c r="Q16" i="9" s="1"/>
  <c r="M15" i="9"/>
  <c r="O15" i="9" s="1"/>
  <c r="P15" i="9" s="1"/>
  <c r="Q15" i="9" s="1"/>
  <c r="L8" i="9"/>
  <c r="L28" i="9" s="1"/>
  <c r="P28" i="9" s="1"/>
  <c r="Q28" i="9" s="1"/>
  <c r="M14" i="9"/>
  <c r="O14" i="9" s="1"/>
  <c r="P14" i="9" s="1"/>
  <c r="Q14" i="9" s="1"/>
  <c r="M10" i="9"/>
  <c r="O10" i="9" s="1"/>
  <c r="P10" i="9" s="1"/>
  <c r="Q10" i="9" s="1"/>
  <c r="M9" i="9"/>
  <c r="O9" i="9" s="1"/>
  <c r="P9" i="9" s="1"/>
  <c r="Q9" i="9" s="1"/>
  <c r="M19" i="9"/>
  <c r="O19" i="9" s="1"/>
  <c r="P19" i="9" s="1"/>
  <c r="Q19" i="9" s="1"/>
  <c r="M11" i="9"/>
  <c r="O11" i="9" s="1"/>
  <c r="P11" i="9" s="1"/>
  <c r="Q11" i="9" s="1"/>
  <c r="M18" i="9"/>
  <c r="O18" i="9" s="1"/>
  <c r="P18" i="9" s="1"/>
  <c r="Q18" i="9" s="1"/>
  <c r="M13" i="9"/>
  <c r="O13" i="9" s="1"/>
  <c r="P13" i="9" s="1"/>
  <c r="Q13" i="9" s="1"/>
  <c r="M17" i="9"/>
  <c r="O17" i="9" s="1"/>
  <c r="P17" i="9" s="1"/>
  <c r="Q17" i="9" s="1"/>
  <c r="C39" i="2"/>
  <c r="C40" i="2" s="1"/>
  <c r="C42" i="2" s="1"/>
  <c r="G15" i="2" s="1"/>
  <c r="C27" i="2"/>
  <c r="C31" i="2" s="1"/>
  <c r="G12" i="2"/>
  <c r="P8" i="9" l="1"/>
  <c r="Q8" i="9" s="1"/>
  <c r="R8" i="9" s="1"/>
  <c r="R9" i="9" s="1"/>
  <c r="R10" i="9" s="1"/>
  <c r="R11" i="9" s="1"/>
  <c r="R12" i="9" s="1"/>
  <c r="R13" i="9" s="1"/>
  <c r="R14" i="9" s="1"/>
  <c r="R15" i="9" s="1"/>
  <c r="R16" i="9" s="1"/>
  <c r="R17" i="9" s="1"/>
  <c r="R18" i="9" s="1"/>
  <c r="R19" i="9" s="1"/>
  <c r="R20" i="9" s="1"/>
  <c r="R21" i="9" s="1"/>
  <c r="R22" i="9" s="1"/>
  <c r="R23" i="9" s="1"/>
  <c r="R24" i="9" s="1"/>
  <c r="R25" i="9" s="1"/>
  <c r="R26" i="9" s="1"/>
  <c r="R27" i="9" s="1"/>
  <c r="R28" i="9" s="1"/>
  <c r="R29" i="9" s="1"/>
  <c r="G14" i="2"/>
  <c r="G21" i="2" s="1"/>
  <c r="G24" i="2" s="1"/>
  <c r="G7" i="2"/>
  <c r="G8" i="2" s="1"/>
  <c r="N13" i="2" l="1"/>
  <c r="N12" i="2"/>
  <c r="N20" i="2"/>
  <c r="O20" i="2" s="1"/>
  <c r="P20" i="2" s="1"/>
  <c r="N25" i="2"/>
  <c r="O25" i="2" s="1"/>
  <c r="P25" i="2" s="1"/>
  <c r="N11" i="2"/>
  <c r="N18" i="2"/>
  <c r="N24" i="2"/>
  <c r="O24" i="2" s="1"/>
  <c r="P24" i="2" s="1"/>
  <c r="N27" i="2"/>
  <c r="O27" i="2" s="1"/>
  <c r="P27" i="2" s="1"/>
  <c r="N19" i="2"/>
  <c r="N9" i="2"/>
  <c r="N16" i="2"/>
  <c r="N17" i="2"/>
  <c r="N23" i="2"/>
  <c r="O23" i="2" s="1"/>
  <c r="P23" i="2" s="1"/>
  <c r="N28" i="2"/>
  <c r="O28" i="2" s="1"/>
  <c r="N22" i="2"/>
  <c r="O22" i="2" s="1"/>
  <c r="P22" i="2" s="1"/>
  <c r="N21" i="2"/>
  <c r="O21" i="2" s="1"/>
  <c r="P21" i="2" s="1"/>
  <c r="N26" i="2"/>
  <c r="O26" i="2" s="1"/>
  <c r="P26" i="2" s="1"/>
  <c r="N10" i="2"/>
  <c r="N15" i="2"/>
  <c r="N14" i="2"/>
  <c r="K3" i="2"/>
  <c r="K8" i="2" s="1"/>
  <c r="M10" i="2" s="1"/>
  <c r="G26" i="2"/>
  <c r="O10" i="2" l="1"/>
  <c r="P10" i="2" s="1"/>
  <c r="Q10" i="2" s="1"/>
  <c r="Q21" i="2"/>
  <c r="Q22" i="2"/>
  <c r="Q24" i="2"/>
  <c r="Q23" i="2"/>
  <c r="Q25" i="2"/>
  <c r="Q20" i="2"/>
  <c r="Q27" i="2"/>
  <c r="Q26" i="2"/>
  <c r="M12" i="2"/>
  <c r="O12" i="2" s="1"/>
  <c r="P12" i="2" s="1"/>
  <c r="Q12" i="2" s="1"/>
  <c r="M11" i="2"/>
  <c r="O11" i="2" s="1"/>
  <c r="P11" i="2" s="1"/>
  <c r="Q11" i="2" s="1"/>
  <c r="M18" i="2"/>
  <c r="M19" i="2"/>
  <c r="O19" i="2" s="1"/>
  <c r="P19" i="2" s="1"/>
  <c r="Q19" i="2" s="1"/>
  <c r="M13" i="2"/>
  <c r="O13" i="2" s="1"/>
  <c r="P13" i="2" s="1"/>
  <c r="M17" i="2"/>
  <c r="O17" i="2" s="1"/>
  <c r="P17" i="2" s="1"/>
  <c r="M14" i="2"/>
  <c r="O14" i="2" s="1"/>
  <c r="P14" i="2" s="1"/>
  <c r="M9" i="2"/>
  <c r="O9" i="2" s="1"/>
  <c r="P9" i="2" s="1"/>
  <c r="Q9" i="2" s="1"/>
  <c r="M16" i="2"/>
  <c r="M15" i="2"/>
  <c r="O15" i="2" s="1"/>
  <c r="P15" i="2" s="1"/>
  <c r="L8" i="2"/>
  <c r="L28" i="2" s="1"/>
  <c r="P28" i="2" s="1"/>
  <c r="Q28" i="2" s="1"/>
  <c r="Q13" i="2" l="1"/>
  <c r="Q15" i="2"/>
  <c r="Q14" i="2"/>
  <c r="Q17" i="2"/>
  <c r="O16" i="2"/>
  <c r="P16" i="2" s="1"/>
  <c r="Q16" i="2" s="1"/>
  <c r="O18" i="2"/>
  <c r="P18" i="2" s="1"/>
  <c r="Q18" i="2" s="1"/>
  <c r="P8" i="2"/>
  <c r="Q8" i="2" s="1"/>
  <c r="R8" i="2" s="1"/>
  <c r="R9" i="2" s="1"/>
  <c r="R10" i="2" s="1"/>
  <c r="R11" i="2" s="1"/>
  <c r="R12" i="2" s="1"/>
  <c r="R13" i="2" l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</calcChain>
</file>

<file path=xl/sharedStrings.xml><?xml version="1.0" encoding="utf-8"?>
<sst xmlns="http://schemas.openxmlformats.org/spreadsheetml/2006/main" count="339" uniqueCount="164">
  <si>
    <t>Process Values</t>
  </si>
  <si>
    <t>CO2 Purchase Cost</t>
  </si>
  <si>
    <t>USD/ton</t>
  </si>
  <si>
    <t>Chemical prices:</t>
  </si>
  <si>
    <t>USD/kg</t>
  </si>
  <si>
    <t># elec</t>
  </si>
  <si>
    <t># elec/CO2</t>
  </si>
  <si>
    <t>Mole ratio</t>
  </si>
  <si>
    <t>MW</t>
  </si>
  <si>
    <t>Density (kg/m^3)</t>
  </si>
  <si>
    <t>State</t>
  </si>
  <si>
    <t>Product/Oxygen</t>
  </si>
  <si>
    <t>Carbon monoxide</t>
  </si>
  <si>
    <t>Gas</t>
  </si>
  <si>
    <t>Base Electrolyzer Cost (Ir-based anode system)</t>
  </si>
  <si>
    <t>$/kW (2014)</t>
  </si>
  <si>
    <t>Ethanol</t>
  </si>
  <si>
    <t>Liq</t>
  </si>
  <si>
    <t>E4tech Electrolyzer Voltage</t>
  </si>
  <si>
    <t>V</t>
  </si>
  <si>
    <t>Ethylene</t>
  </si>
  <si>
    <t>E4tech Electrolyzer Current Density</t>
  </si>
  <si>
    <t>mA/cm^2</t>
  </si>
  <si>
    <t>Formic acid</t>
  </si>
  <si>
    <t>Installed Cost</t>
  </si>
  <si>
    <t>$/m^2</t>
  </si>
  <si>
    <t>Electrolyzer Maintanence Cost</t>
  </si>
  <si>
    <t>% capital per year</t>
  </si>
  <si>
    <t>Replacement Cost</t>
  </si>
  <si>
    <t>MEA Replacement Cost</t>
  </si>
  <si>
    <t>USD/m2</t>
  </si>
  <si>
    <t>Chemical</t>
  </si>
  <si>
    <t>Reference Cost</t>
  </si>
  <si>
    <t>Utility Cost</t>
  </si>
  <si>
    <t>PSA Capacity Scaling Factor:</t>
  </si>
  <si>
    <t>PSA Reference Cost:</t>
  </si>
  <si>
    <t>$</t>
  </si>
  <si>
    <t>Formic Acid</t>
  </si>
  <si>
    <t>PSA Reference Capacity:</t>
  </si>
  <si>
    <t>m^3/hr</t>
  </si>
  <si>
    <t>PSA Operating cost:</t>
  </si>
  <si>
    <t>kWh/m^3</t>
  </si>
  <si>
    <t xml:space="preserve"> </t>
  </si>
  <si>
    <t>Distillation Capacity Scaling Factor:</t>
  </si>
  <si>
    <t>Distillation Refence cost:</t>
  </si>
  <si>
    <t>Distillation Refence capacity:</t>
  </si>
  <si>
    <t>l/min</t>
  </si>
  <si>
    <t>Distillation Operating cost:</t>
  </si>
  <si>
    <t>$/day</t>
  </si>
  <si>
    <t>Process Water</t>
  </si>
  <si>
    <t>$/gal</t>
  </si>
  <si>
    <t>Total gas flow</t>
  </si>
  <si>
    <t>gal/day</t>
  </si>
  <si>
    <t>Process Water flow:</t>
  </si>
  <si>
    <t>kg/day</t>
  </si>
  <si>
    <t>CO2 Outlet Flow Rate</t>
  </si>
  <si>
    <t>Oxygen Outlet Flow Rate</t>
  </si>
  <si>
    <t>Anode</t>
  </si>
  <si>
    <t>Electrolyte flow rate:</t>
  </si>
  <si>
    <t>Lqiuid product flow rate:</t>
  </si>
  <si>
    <t>Base</t>
  </si>
  <si>
    <t>Total Gas Flow</t>
  </si>
  <si>
    <t>mol/s</t>
  </si>
  <si>
    <t>Hydrogen Flow Rate</t>
  </si>
  <si>
    <t>NPV ($millions)=</t>
  </si>
  <si>
    <t>Gas Product Flow Rate</t>
  </si>
  <si>
    <t>Cathode</t>
  </si>
  <si>
    <t>yr</t>
  </si>
  <si>
    <t>Payback Time:</t>
  </si>
  <si>
    <t>CO2 Inlet Flow Rate</t>
  </si>
  <si>
    <t>USD/yr</t>
  </si>
  <si>
    <t>Yearly Profit:</t>
  </si>
  <si>
    <t>CO2 Needed</t>
  </si>
  <si>
    <t>USD/day</t>
  </si>
  <si>
    <t>Product Income</t>
  </si>
  <si>
    <t>Power Needed</t>
  </si>
  <si>
    <t>m^2</t>
  </si>
  <si>
    <t>Electrolyzer Area</t>
  </si>
  <si>
    <t>Total</t>
  </si>
  <si>
    <t xml:space="preserve">A </t>
  </si>
  <si>
    <t>Current Needed</t>
  </si>
  <si>
    <t># electrons per mole product</t>
  </si>
  <si>
    <t>Electrolyzer Balance:</t>
  </si>
  <si>
    <t>Water</t>
  </si>
  <si>
    <t>%</t>
  </si>
  <si>
    <t>Carbonate formation</t>
  </si>
  <si>
    <t>CO2 Purchase</t>
  </si>
  <si>
    <t>Conversion:</t>
  </si>
  <si>
    <t>Product Selectivity:</t>
  </si>
  <si>
    <t>PSA (Cathode)</t>
  </si>
  <si>
    <t>Cell Voltage:</t>
  </si>
  <si>
    <t>Distillation:</t>
  </si>
  <si>
    <t>A/cm^2</t>
  </si>
  <si>
    <t>Current Density:</t>
  </si>
  <si>
    <t>Electrolyzer Electricity:</t>
  </si>
  <si>
    <t>Electrolyzer Assumptions:</t>
  </si>
  <si>
    <t>Operating Costs:</t>
  </si>
  <si>
    <t>USD/kWh</t>
  </si>
  <si>
    <t>Electricity Price</t>
  </si>
  <si>
    <t>USD</t>
  </si>
  <si>
    <t>Total:</t>
  </si>
  <si>
    <t>years</t>
  </si>
  <si>
    <t>Lifetime</t>
  </si>
  <si>
    <t>Cumulative Present Value</t>
  </si>
  <si>
    <t xml:space="preserve">Cash Flow (Present Value) </t>
  </si>
  <si>
    <t>Discounted Cash Flow</t>
  </si>
  <si>
    <t>Net Earning</t>
  </si>
  <si>
    <t>Net Profit</t>
  </si>
  <si>
    <t>Depreciation</t>
  </si>
  <si>
    <t>Working Capital</t>
  </si>
  <si>
    <t>Capital Expenses</t>
  </si>
  <si>
    <t>Year</t>
  </si>
  <si>
    <t>PSA:</t>
  </si>
  <si>
    <t>days/year</t>
  </si>
  <si>
    <t>Operating time</t>
  </si>
  <si>
    <t>Distillation</t>
  </si>
  <si>
    <t>Nominal Interest Rate</t>
  </si>
  <si>
    <t>Balance of Plant</t>
  </si>
  <si>
    <t>Income Tax</t>
  </si>
  <si>
    <t>Electrolyzer</t>
  </si>
  <si>
    <t>Total depreciable capital:</t>
  </si>
  <si>
    <t>Capital Costs:</t>
  </si>
  <si>
    <t>Economic Analysis of a CO2 Electrolyzer System</t>
  </si>
  <si>
    <t>Product</t>
  </si>
  <si>
    <t>Cell Voltage</t>
  </si>
  <si>
    <t>Current Density</t>
  </si>
  <si>
    <t>Selectivity</t>
  </si>
  <si>
    <t>(%)</t>
  </si>
  <si>
    <r>
      <t>Case</t>
    </r>
    <r>
      <rPr>
        <vertAlign val="superscript"/>
        <sz val="12"/>
        <color rgb="FF000000"/>
        <rFont val="Calibri"/>
        <family val="2"/>
      </rPr>
      <t>1</t>
    </r>
  </si>
  <si>
    <r>
      <t>(V)</t>
    </r>
    <r>
      <rPr>
        <vertAlign val="superscript"/>
        <sz val="12"/>
        <color rgb="FF000000"/>
        <rFont val="Calibri"/>
        <family val="2"/>
      </rPr>
      <t>2</t>
    </r>
  </si>
  <si>
    <r>
      <t>(mA/cm</t>
    </r>
    <r>
      <rPr>
        <vertAlign val="superscript"/>
        <sz val="12"/>
        <color rgb="FF000000"/>
        <rFont val="Calibri"/>
        <family val="2"/>
      </rPr>
      <t>2</t>
    </r>
    <r>
      <rPr>
        <sz val="12"/>
        <color rgb="FF000000"/>
        <rFont val="Calibri"/>
        <family val="2"/>
      </rPr>
      <t>)</t>
    </r>
  </si>
  <si>
    <r>
      <t>(%)</t>
    </r>
    <r>
      <rPr>
        <vertAlign val="superscript"/>
        <sz val="12"/>
        <color rgb="FF000000"/>
        <rFont val="Calibri"/>
        <family val="2"/>
      </rPr>
      <t>3</t>
    </r>
  </si>
  <si>
    <t xml:space="preserve">Single-pass Conversion </t>
  </si>
  <si>
    <t>Product production</t>
  </si>
  <si>
    <t>Product State</t>
  </si>
  <si>
    <t>Product Price</t>
  </si>
  <si>
    <t>(USD/kg)</t>
  </si>
  <si>
    <t>System</t>
  </si>
  <si>
    <t>MACRS 5 yr</t>
  </si>
  <si>
    <t>MACRS 10 yr</t>
  </si>
  <si>
    <t>Percent</t>
  </si>
  <si>
    <t>MW/day</t>
  </si>
  <si>
    <r>
      <t>With CO</t>
    </r>
    <r>
      <rPr>
        <vertAlign val="subscript"/>
        <sz val="12"/>
        <color rgb="FF000000"/>
        <rFont val="Calibri"/>
        <family val="2"/>
      </rPr>
      <t>2</t>
    </r>
    <r>
      <rPr>
        <sz val="12"/>
        <color rgb="FF000000"/>
        <rFont val="Calibri"/>
        <family val="2"/>
      </rPr>
      <t xml:space="preserve"> Consumption in Electrolyte</t>
    </r>
  </si>
  <si>
    <t>Carbon Monoxide</t>
  </si>
  <si>
    <t>PSA (O2/CO2)</t>
  </si>
  <si>
    <t>Maintenance:</t>
  </si>
  <si>
    <t>Maintanence:</t>
  </si>
  <si>
    <t>Product price</t>
  </si>
  <si>
    <t>Without CO2 consumption in electrolyte</t>
  </si>
  <si>
    <t># Sheet</t>
  </si>
  <si>
    <t>Description</t>
  </si>
  <si>
    <t>Sheet1</t>
  </si>
  <si>
    <t>Sheet2</t>
  </si>
  <si>
    <t>Sheet3</t>
  </si>
  <si>
    <t>Sheet4</t>
  </si>
  <si>
    <t>Sheet5</t>
  </si>
  <si>
    <t>Cost analysis of a CO2 electrolyzer with an AEM configuration: The CO2/O2 separation process at an anode is considered due to CO2 consumption in electrolyte and its crossover to the anode.</t>
  </si>
  <si>
    <t>Cost analysis of a CO2 electrolyzer with a BPM configuration: The CO2/O2 separation process at an anode is not considered.</t>
  </si>
  <si>
    <t>Values</t>
  </si>
  <si>
    <t>Unit</t>
  </si>
  <si>
    <r>
      <t xml:space="preserve">Parameters used for the cost analyisis on Sheet 1. (Only parameters for base scenario are described. See the </t>
    </r>
    <r>
      <rPr>
        <b/>
        <sz val="12"/>
        <color theme="1"/>
        <rFont val="Calibri"/>
        <family val="2"/>
        <scheme val="minor"/>
      </rPr>
      <t>Supplementary Table 7</t>
    </r>
    <r>
      <rPr>
        <sz val="12"/>
        <color theme="1"/>
        <rFont val="Calibri"/>
        <family val="2"/>
        <scheme val="minor"/>
      </rPr>
      <t xml:space="preserve"> for those for pessimistic and optimistic scenarios.)</t>
    </r>
  </si>
  <si>
    <r>
      <t xml:space="preserve">Parameters used for the cost analyisis on Sheet 3. (Only parameters for base scenario are described. See the </t>
    </r>
    <r>
      <rPr>
        <b/>
        <sz val="12"/>
        <color theme="1"/>
        <rFont val="Calibri"/>
        <family val="2"/>
        <scheme val="minor"/>
      </rPr>
      <t>Supplementary Table 7</t>
    </r>
    <r>
      <rPr>
        <sz val="12"/>
        <color theme="1"/>
        <rFont val="Calibri"/>
        <family val="2"/>
        <scheme val="minor"/>
      </rPr>
      <t xml:space="preserve"> for those for pessimistic and optimistic scenarios.)</t>
    </r>
  </si>
  <si>
    <t>Sets of data including process values used for both Sheet1 and Sheet3.</t>
  </si>
  <si>
    <r>
      <t xml:space="preserve">ADAPTED WITH PERMISSION FROM </t>
    </r>
    <r>
      <rPr>
        <i/>
        <sz val="12"/>
        <color theme="1"/>
        <rFont val="Calibri"/>
        <family val="2"/>
        <scheme val="minor"/>
      </rPr>
      <t>Ind. Eng. Chem. Res.</t>
    </r>
    <r>
      <rPr>
        <sz val="12"/>
        <color theme="1"/>
        <rFont val="Calibri"/>
        <family val="2"/>
        <scheme val="minor"/>
      </rPr>
      <t xml:space="preserve"> 2018 </t>
    </r>
    <r>
      <rPr>
        <b/>
        <sz val="12"/>
        <color theme="1"/>
        <rFont val="Calibri"/>
        <family val="2"/>
        <scheme val="minor"/>
      </rPr>
      <t>57</t>
    </r>
    <r>
      <rPr>
        <sz val="12"/>
        <color theme="1"/>
        <rFont val="Calibri"/>
        <family val="2"/>
        <scheme val="minor"/>
      </rPr>
      <t xml:space="preserve"> 2165-2177. COPYRIGHT © (2018) AMERICAN CHEMICAL SOCIETY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</si>
</sst>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0.0"/>
    <numFmt numFmtId="165" formatCode="0.000"/>
    <numFmt numFmtId="166" formatCode="#,##0.000"/>
    <numFmt numFmtId="167" formatCode="#,##0.0"/>
  </numFmts>
  <fonts count="12" x14ac:knownFonts="1"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000000"/>
      <name val="Calibri"/>
      <family val="2"/>
    </font>
    <font>
      <vertAlign val="superscript"/>
      <sz val="12"/>
      <color rgb="FF000000"/>
      <name val="Calibri"/>
      <family val="2"/>
    </font>
    <font>
      <b/>
      <sz val="11"/>
      <color theme="1"/>
      <name val="Calibri"/>
      <family val="2"/>
      <scheme val="minor"/>
    </font>
    <font>
      <vertAlign val="subscript"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/>
      <bottom style="medium">
        <color rgb="FF000000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">
        <color rgb="FF000000"/>
      </top>
      <bottom/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/>
      <right style="mediumDashed">
        <color indexed="64"/>
      </right>
      <top/>
      <bottom style="medium">
        <color rgb="FF000000"/>
      </bottom>
      <diagonal/>
    </border>
    <border>
      <left style="mediumDashed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Dashed">
        <color indexed="64"/>
      </right>
      <top style="medium">
        <color rgb="FF000000"/>
      </top>
      <bottom/>
      <diagonal/>
    </border>
    <border>
      <left/>
      <right style="mediumDashed">
        <color indexed="64"/>
      </right>
      <top/>
      <bottom/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</borders>
  <cellStyleXfs count="4">
    <xf numFmtId="0" fontId="0" fillId="0" borderId="0"/>
    <xf numFmtId="0" fontId="2" fillId="0" borderId="0"/>
    <xf numFmtId="44" fontId="2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120">
    <xf numFmtId="0" fontId="0" fillId="0" borderId="0" xfId="0"/>
    <xf numFmtId="0" fontId="2" fillId="0" borderId="0" xfId="1"/>
    <xf numFmtId="164" fontId="2" fillId="0" borderId="0" xfId="1" applyNumberFormat="1" applyAlignment="1">
      <alignment horizontal="center"/>
    </xf>
    <xf numFmtId="164" fontId="2" fillId="0" borderId="0" xfId="1" applyNumberFormat="1"/>
    <xf numFmtId="44" fontId="0" fillId="0" borderId="0" xfId="2" applyFont="1" applyBorder="1"/>
    <xf numFmtId="164" fontId="0" fillId="0" borderId="0" xfId="2" applyNumberFormat="1" applyFont="1" applyBorder="1" applyAlignment="1">
      <alignment horizontal="center"/>
    </xf>
    <xf numFmtId="165" fontId="2" fillId="0" borderId="0" xfId="1" applyNumberFormat="1"/>
    <xf numFmtId="166" fontId="2" fillId="0" borderId="0" xfId="1" applyNumberFormat="1"/>
    <xf numFmtId="0" fontId="2" fillId="0" borderId="0" xfId="1" applyAlignment="1">
      <alignment horizontal="center"/>
    </xf>
    <xf numFmtId="1" fontId="2" fillId="0" borderId="0" xfId="1" applyNumberFormat="1"/>
    <xf numFmtId="0" fontId="3" fillId="0" borderId="0" xfId="1" applyFont="1"/>
    <xf numFmtId="166" fontId="1" fillId="0" borderId="0" xfId="3" applyNumberFormat="1" applyFont="1" applyFill="1" applyBorder="1"/>
    <xf numFmtId="0" fontId="2" fillId="0" borderId="6" xfId="1" applyBorder="1"/>
    <xf numFmtId="0" fontId="2" fillId="0" borderId="4" xfId="1" applyBorder="1"/>
    <xf numFmtId="0" fontId="2" fillId="0" borderId="5" xfId="1" applyBorder="1"/>
    <xf numFmtId="3" fontId="2" fillId="0" borderId="0" xfId="1" applyNumberFormat="1"/>
    <xf numFmtId="0" fontId="2" fillId="0" borderId="2" xfId="1" applyBorder="1" applyAlignment="1">
      <alignment horizontal="center"/>
    </xf>
    <xf numFmtId="0" fontId="2" fillId="0" borderId="1" xfId="1" applyBorder="1"/>
    <xf numFmtId="4" fontId="4" fillId="2" borderId="0" xfId="3" applyNumberFormat="1" applyBorder="1"/>
    <xf numFmtId="3" fontId="2" fillId="0" borderId="7" xfId="1" applyNumberFormat="1" applyBorder="1" applyAlignment="1">
      <alignment horizontal="center"/>
    </xf>
    <xf numFmtId="3" fontId="2" fillId="0" borderId="7" xfId="1" applyNumberFormat="1" applyBorder="1"/>
    <xf numFmtId="3" fontId="2" fillId="0" borderId="5" xfId="1" applyNumberFormat="1" applyBorder="1" applyAlignment="1">
      <alignment horizontal="center"/>
    </xf>
    <xf numFmtId="3" fontId="2" fillId="0" borderId="0" xfId="1" applyNumberFormat="1" applyAlignment="1">
      <alignment horizontal="center"/>
    </xf>
    <xf numFmtId="1" fontId="2" fillId="0" borderId="0" xfId="1" applyNumberFormat="1" applyAlignment="1">
      <alignment horizontal="center"/>
    </xf>
    <xf numFmtId="0" fontId="2" fillId="0" borderId="8" xfId="1" applyBorder="1"/>
    <xf numFmtId="2" fontId="2" fillId="0" borderId="7" xfId="1" applyNumberFormat="1" applyBorder="1" applyAlignment="1">
      <alignment horizontal="center"/>
    </xf>
    <xf numFmtId="4" fontId="2" fillId="0" borderId="0" xfId="1" applyNumberFormat="1"/>
    <xf numFmtId="3" fontId="2" fillId="0" borderId="4" xfId="1" applyNumberFormat="1" applyBorder="1"/>
    <xf numFmtId="3" fontId="2" fillId="0" borderId="5" xfId="1" applyNumberFormat="1" applyBorder="1"/>
    <xf numFmtId="11" fontId="2" fillId="0" borderId="0" xfId="1" applyNumberFormat="1"/>
    <xf numFmtId="4" fontId="4" fillId="0" borderId="0" xfId="3" applyNumberFormat="1" applyFill="1" applyBorder="1"/>
    <xf numFmtId="3" fontId="2" fillId="0" borderId="3" xfId="1" applyNumberFormat="1" applyBorder="1"/>
    <xf numFmtId="3" fontId="2" fillId="0" borderId="2" xfId="1" applyNumberFormat="1" applyBorder="1"/>
    <xf numFmtId="0" fontId="2" fillId="0" borderId="2" xfId="1" applyBorder="1"/>
    <xf numFmtId="3" fontId="0" fillId="0" borderId="2" xfId="2" applyNumberFormat="1" applyFont="1" applyBorder="1"/>
    <xf numFmtId="3" fontId="2" fillId="0" borderId="1" xfId="1" applyNumberFormat="1" applyBorder="1"/>
    <xf numFmtId="0" fontId="2" fillId="0" borderId="3" xfId="1" applyBorder="1"/>
    <xf numFmtId="0" fontId="5" fillId="0" borderId="0" xfId="1" applyFont="1"/>
    <xf numFmtId="0" fontId="6" fillId="0" borderId="9" xfId="0" applyFont="1" applyBorder="1" applyAlignment="1">
      <alignment horizontal="center" vertical="center" wrapText="1" readingOrder="1"/>
    </xf>
    <xf numFmtId="0" fontId="6" fillId="0" borderId="15" xfId="0" applyFont="1" applyBorder="1" applyAlignment="1">
      <alignment horizontal="center" vertical="center" wrapText="1" readingOrder="1"/>
    </xf>
    <xf numFmtId="0" fontId="6" fillId="0" borderId="18" xfId="0" applyFont="1" applyBorder="1" applyAlignment="1">
      <alignment horizontal="center" vertical="center" wrapText="1" readingOrder="1"/>
    </xf>
    <xf numFmtId="3" fontId="2" fillId="0" borderId="8" xfId="1" applyNumberFormat="1" applyBorder="1" applyAlignment="1">
      <alignment horizontal="center"/>
    </xf>
    <xf numFmtId="0" fontId="2" fillId="0" borderId="4" xfId="1" applyFill="1" applyBorder="1"/>
    <xf numFmtId="0" fontId="2" fillId="0" borderId="0" xfId="1" applyFill="1" applyAlignment="1">
      <alignment horizontal="center"/>
    </xf>
    <xf numFmtId="0" fontId="2" fillId="0" borderId="5" xfId="1" applyFill="1" applyBorder="1"/>
    <xf numFmtId="164" fontId="2" fillId="0" borderId="0" xfId="1" applyNumberFormat="1" applyFill="1" applyAlignment="1">
      <alignment horizontal="center"/>
    </xf>
    <xf numFmtId="0" fontId="2" fillId="0" borderId="0" xfId="1" applyFill="1"/>
    <xf numFmtId="0" fontId="2" fillId="0" borderId="6" xfId="1" applyFill="1" applyBorder="1"/>
    <xf numFmtId="164" fontId="2" fillId="0" borderId="7" xfId="1" applyNumberFormat="1" applyFill="1" applyBorder="1" applyAlignment="1">
      <alignment horizontal="center"/>
    </xf>
    <xf numFmtId="0" fontId="2" fillId="0" borderId="8" xfId="1" applyFill="1" applyBorder="1"/>
    <xf numFmtId="1" fontId="2" fillId="0" borderId="0" xfId="1" applyNumberFormat="1" applyFill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" fillId="0" borderId="0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25" xfId="0" applyBorder="1"/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8" fillId="0" borderId="0" xfId="1" applyFont="1"/>
    <xf numFmtId="0" fontId="6" fillId="0" borderId="35" xfId="0" applyFont="1" applyBorder="1" applyAlignment="1">
      <alignment horizontal="center" vertical="center" wrapText="1" readingOrder="1"/>
    </xf>
    <xf numFmtId="0" fontId="6" fillId="0" borderId="31" xfId="0" applyFont="1" applyBorder="1" applyAlignment="1">
      <alignment horizontal="center" vertical="center" wrapText="1" readingOrder="1"/>
    </xf>
    <xf numFmtId="0" fontId="6" fillId="0" borderId="32" xfId="0" applyFont="1" applyBorder="1" applyAlignment="1">
      <alignment horizontal="center" vertical="center" wrapText="1" readingOrder="1"/>
    </xf>
    <xf numFmtId="0" fontId="6" fillId="0" borderId="33" xfId="0" applyFont="1" applyBorder="1" applyAlignment="1">
      <alignment horizontal="center" vertical="center" wrapText="1" readingOrder="1"/>
    </xf>
    <xf numFmtId="0" fontId="6" fillId="0" borderId="33" xfId="0" applyFont="1" applyFill="1" applyBorder="1" applyAlignment="1">
      <alignment horizontal="center" vertical="center" wrapText="1" readingOrder="1"/>
    </xf>
    <xf numFmtId="0" fontId="6" fillId="0" borderId="34" xfId="0" applyFont="1" applyFill="1" applyBorder="1" applyAlignment="1">
      <alignment horizontal="center" vertical="center" wrapText="1" readingOrder="1"/>
    </xf>
    <xf numFmtId="0" fontId="6" fillId="0" borderId="11" xfId="0" applyFont="1" applyBorder="1" applyAlignment="1">
      <alignment horizontal="center" vertical="center" wrapText="1" readingOrder="1"/>
    </xf>
    <xf numFmtId="0" fontId="6" fillId="0" borderId="14" xfId="0" applyFont="1" applyBorder="1" applyAlignment="1">
      <alignment horizontal="center" vertical="center" wrapText="1" readingOrder="1"/>
    </xf>
    <xf numFmtId="0" fontId="6" fillId="0" borderId="28" xfId="0" applyFont="1" applyBorder="1" applyAlignment="1">
      <alignment horizontal="center" vertical="center" wrapText="1" readingOrder="1"/>
    </xf>
    <xf numFmtId="2" fontId="2" fillId="0" borderId="0" xfId="1" applyNumberFormat="1" applyAlignment="1">
      <alignment horizontal="center"/>
    </xf>
    <xf numFmtId="164" fontId="2" fillId="0" borderId="7" xfId="1" applyNumberFormat="1" applyBorder="1" applyAlignment="1">
      <alignment horizontal="center"/>
    </xf>
    <xf numFmtId="0" fontId="6" fillId="0" borderId="34" xfId="0" applyFont="1" applyBorder="1" applyAlignment="1">
      <alignment horizontal="center" vertical="center" wrapText="1" readingOrder="1"/>
    </xf>
    <xf numFmtId="0" fontId="6" fillId="0" borderId="35" xfId="0" applyFont="1" applyBorder="1" applyAlignment="1">
      <alignment horizontal="right" vertical="center" wrapText="1" readingOrder="1"/>
    </xf>
    <xf numFmtId="0" fontId="10" fillId="0" borderId="0" xfId="0" applyFont="1"/>
    <xf numFmtId="0" fontId="10" fillId="0" borderId="21" xfId="0" applyFont="1" applyBorder="1"/>
    <xf numFmtId="0" fontId="0" fillId="0" borderId="0" xfId="0" applyBorder="1"/>
    <xf numFmtId="0" fontId="0" fillId="0" borderId="16" xfId="0" applyBorder="1"/>
    <xf numFmtId="0" fontId="0" fillId="0" borderId="26" xfId="0" applyBorder="1"/>
    <xf numFmtId="0" fontId="0" fillId="0" borderId="27" xfId="0" applyBorder="1"/>
    <xf numFmtId="0" fontId="10" fillId="0" borderId="22" xfId="0" applyFont="1" applyBorder="1"/>
    <xf numFmtId="0" fontId="10" fillId="0" borderId="23" xfId="0" applyFont="1" applyBorder="1"/>
    <xf numFmtId="0" fontId="6" fillId="0" borderId="12" xfId="0" applyFont="1" applyBorder="1" applyAlignment="1">
      <alignment horizontal="center" vertical="center" wrapText="1" readingOrder="1"/>
    </xf>
    <xf numFmtId="0" fontId="6" fillId="0" borderId="13" xfId="0" applyFont="1" applyBorder="1" applyAlignment="1">
      <alignment horizontal="center" vertical="center" wrapText="1" readingOrder="1"/>
    </xf>
    <xf numFmtId="2" fontId="0" fillId="0" borderId="29" xfId="0" applyNumberFormat="1" applyBorder="1" applyAlignment="1">
      <alignment horizontal="center" vertical="center"/>
    </xf>
    <xf numFmtId="2" fontId="0" fillId="0" borderId="30" xfId="0" applyNumberFormat="1" applyBorder="1" applyAlignment="1">
      <alignment horizontal="center" vertical="center"/>
    </xf>
    <xf numFmtId="4" fontId="0" fillId="0" borderId="10" xfId="0" applyNumberFormat="1" applyBorder="1" applyAlignment="1">
      <alignment horizontal="center" vertical="center"/>
    </xf>
    <xf numFmtId="4" fontId="0" fillId="0" borderId="17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0" fontId="6" fillId="0" borderId="10" xfId="0" applyFont="1" applyBorder="1" applyAlignment="1">
      <alignment horizontal="center" vertical="center" wrapText="1" readingOrder="1"/>
    </xf>
    <xf numFmtId="0" fontId="6" fillId="0" borderId="16" xfId="0" applyFont="1" applyBorder="1" applyAlignment="1">
      <alignment horizontal="center" vertical="center" wrapText="1" readingOrder="1"/>
    </xf>
    <xf numFmtId="0" fontId="6" fillId="0" borderId="29" xfId="0" applyFont="1" applyBorder="1" applyAlignment="1">
      <alignment horizontal="center" vertical="center" wrapText="1" readingOrder="1"/>
    </xf>
    <xf numFmtId="4" fontId="6" fillId="0" borderId="11" xfId="0" applyNumberFormat="1" applyFont="1" applyBorder="1" applyAlignment="1">
      <alignment horizontal="center" vertical="center" wrapText="1" readingOrder="1"/>
    </xf>
    <xf numFmtId="4" fontId="6" fillId="0" borderId="10" xfId="0" applyNumberFormat="1" applyFont="1" applyBorder="1" applyAlignment="1">
      <alignment horizontal="center" vertical="center" wrapText="1" readingOrder="1"/>
    </xf>
    <xf numFmtId="4" fontId="6" fillId="0" borderId="14" xfId="0" applyNumberFormat="1" applyFont="1" applyBorder="1" applyAlignment="1">
      <alignment horizontal="center" vertical="center" wrapText="1" readingOrder="1"/>
    </xf>
    <xf numFmtId="4" fontId="6" fillId="0" borderId="16" xfId="0" applyNumberFormat="1" applyFont="1" applyBorder="1" applyAlignment="1">
      <alignment horizontal="center" vertical="center" wrapText="1" readingOrder="1"/>
    </xf>
    <xf numFmtId="4" fontId="6" fillId="0" borderId="28" xfId="0" applyNumberFormat="1" applyFont="1" applyBorder="1" applyAlignment="1">
      <alignment horizontal="center" vertical="center" wrapText="1" readingOrder="1"/>
    </xf>
    <xf numFmtId="4" fontId="6" fillId="0" borderId="29" xfId="0" applyNumberFormat="1" applyFont="1" applyBorder="1" applyAlignment="1">
      <alignment horizontal="center" vertical="center" wrapText="1" readingOrder="1"/>
    </xf>
    <xf numFmtId="167" fontId="6" fillId="0" borderId="28" xfId="0" applyNumberFormat="1" applyFont="1" applyBorder="1" applyAlignment="1">
      <alignment horizontal="center" vertical="center" wrapText="1" readingOrder="1"/>
    </xf>
    <xf numFmtId="167" fontId="6" fillId="0" borderId="29" xfId="0" applyNumberFormat="1" applyFont="1" applyBorder="1" applyAlignment="1">
      <alignment horizontal="center" vertical="center" wrapText="1" readingOrder="1"/>
    </xf>
    <xf numFmtId="167" fontId="6" fillId="0" borderId="11" xfId="0" applyNumberFormat="1" applyFont="1" applyBorder="1" applyAlignment="1">
      <alignment horizontal="center" vertical="center" wrapText="1" readingOrder="1"/>
    </xf>
    <xf numFmtId="167" fontId="6" fillId="0" borderId="10" xfId="0" applyNumberFormat="1" applyFont="1" applyBorder="1" applyAlignment="1">
      <alignment horizontal="center" vertical="center" wrapText="1" readingOrder="1"/>
    </xf>
    <xf numFmtId="167" fontId="6" fillId="0" borderId="14" xfId="0" applyNumberFormat="1" applyFont="1" applyBorder="1" applyAlignment="1">
      <alignment horizontal="center" vertical="center" wrapText="1" readingOrder="1"/>
    </xf>
    <xf numFmtId="167" fontId="6" fillId="0" borderId="16" xfId="0" applyNumberFormat="1" applyFont="1" applyBorder="1" applyAlignment="1">
      <alignment horizontal="center" vertical="center" wrapText="1" readingOrder="1"/>
    </xf>
    <xf numFmtId="4" fontId="0" fillId="0" borderId="29" xfId="0" applyNumberFormat="1" applyBorder="1" applyAlignment="1">
      <alignment horizontal="center" vertical="center"/>
    </xf>
    <xf numFmtId="4" fontId="0" fillId="0" borderId="30" xfId="0" applyNumberFormat="1" applyBorder="1" applyAlignment="1">
      <alignment horizontal="center" vertical="center"/>
    </xf>
    <xf numFmtId="4" fontId="0" fillId="0" borderId="16" xfId="0" applyNumberFormat="1" applyBorder="1" applyAlignment="1">
      <alignment horizontal="center" vertical="center"/>
    </xf>
    <xf numFmtId="4" fontId="0" fillId="0" borderId="27" xfId="0" applyNumberFormat="1" applyBorder="1" applyAlignment="1">
      <alignment horizontal="center" vertical="center"/>
    </xf>
  </cellXfs>
  <cellStyles count="4">
    <cellStyle name="Currency 2" xfId="2" xr:uid="{E5BC3F9C-6AE2-6849-8D64-0D0C2A26E952}"/>
    <cellStyle name="Good 2" xfId="3" xr:uid="{50746884-85D8-5149-9578-62A5DB0CB48C}"/>
    <cellStyle name="Normal" xfId="0" builtinId="0"/>
    <cellStyle name="Normal 2" xfId="1" xr:uid="{FDFADA77-A1C4-D64B-8D79-2EB691BE3A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01992-1647-A044-A843-BD75E98894EB}">
  <dimension ref="A1:B7"/>
  <sheetViews>
    <sheetView tabSelected="1" topLeftCell="A2" zoomScale="125" workbookViewId="0">
      <selection activeCell="B4" sqref="B4"/>
    </sheetView>
  </sheetViews>
  <sheetFormatPr baseColWidth="10" defaultRowHeight="16" x14ac:dyDescent="0.2"/>
  <sheetData>
    <row r="1" spans="1:2" x14ac:dyDescent="0.2">
      <c r="A1" t="s">
        <v>163</v>
      </c>
    </row>
    <row r="2" spans="1:2" x14ac:dyDescent="0.2">
      <c r="A2" s="83" t="s">
        <v>149</v>
      </c>
      <c r="B2" s="83" t="s">
        <v>150</v>
      </c>
    </row>
    <row r="3" spans="1:2" x14ac:dyDescent="0.2">
      <c r="A3" t="s">
        <v>151</v>
      </c>
      <c r="B3" t="s">
        <v>156</v>
      </c>
    </row>
    <row r="4" spans="1:2" x14ac:dyDescent="0.2">
      <c r="A4" t="s">
        <v>152</v>
      </c>
      <c r="B4" t="s">
        <v>160</v>
      </c>
    </row>
    <row r="5" spans="1:2" x14ac:dyDescent="0.2">
      <c r="A5" t="s">
        <v>153</v>
      </c>
      <c r="B5" t="s">
        <v>157</v>
      </c>
    </row>
    <row r="6" spans="1:2" x14ac:dyDescent="0.2">
      <c r="A6" t="s">
        <v>154</v>
      </c>
      <c r="B6" t="s">
        <v>161</v>
      </c>
    </row>
    <row r="7" spans="1:2" x14ac:dyDescent="0.2">
      <c r="A7" t="s">
        <v>155</v>
      </c>
      <c r="B7" t="s">
        <v>162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B0D0D-0DEA-DD47-A286-CB0FFBC41A24}">
  <sheetPr codeName="Sheet1"/>
  <dimension ref="A1:AS66"/>
  <sheetViews>
    <sheetView zoomScaleNormal="90" workbookViewId="0">
      <selection activeCell="C5" sqref="C5"/>
    </sheetView>
  </sheetViews>
  <sheetFormatPr baseColWidth="10" defaultColWidth="8.83203125" defaultRowHeight="15" x14ac:dyDescent="0.2"/>
  <cols>
    <col min="1" max="1" width="8.83203125" style="1"/>
    <col min="2" max="2" width="26.83203125" style="1" customWidth="1"/>
    <col min="3" max="3" width="16.6640625" style="1" customWidth="1"/>
    <col min="4" max="4" width="14.83203125" style="1" bestFit="1" customWidth="1"/>
    <col min="5" max="5" width="12.1640625" style="1" bestFit="1" customWidth="1"/>
    <col min="6" max="6" width="24.5" style="1" customWidth="1"/>
    <col min="7" max="7" width="17" style="1" customWidth="1"/>
    <col min="8" max="8" width="16.6640625" style="1" customWidth="1"/>
    <col min="9" max="9" width="11.83203125" style="1" customWidth="1"/>
    <col min="10" max="10" width="27.83203125" style="1" customWidth="1"/>
    <col min="11" max="11" width="16" style="1" bestFit="1" customWidth="1"/>
    <col min="12" max="12" width="15.5" style="1" bestFit="1" customWidth="1"/>
    <col min="13" max="13" width="12.5" style="1" bestFit="1" customWidth="1"/>
    <col min="14" max="14" width="11.5" style="1" customWidth="1"/>
    <col min="15" max="15" width="11.33203125" style="1" bestFit="1" customWidth="1"/>
    <col min="16" max="16" width="20.5" style="1" bestFit="1" customWidth="1"/>
    <col min="17" max="17" width="25" style="1" bestFit="1" customWidth="1"/>
    <col min="18" max="18" width="29" style="1" customWidth="1"/>
    <col min="19" max="19" width="15.33203125" style="1" customWidth="1"/>
    <col min="20" max="21" width="8.83203125" style="1"/>
    <col min="22" max="22" width="11.5" style="1" customWidth="1"/>
    <col min="23" max="16384" width="8.83203125" style="1"/>
  </cols>
  <sheetData>
    <row r="1" spans="2:22" ht="21" x14ac:dyDescent="0.25">
      <c r="B1" s="37" t="s">
        <v>122</v>
      </c>
    </row>
    <row r="3" spans="2:22" ht="16" x14ac:dyDescent="0.2">
      <c r="B3" s="17" t="s">
        <v>133</v>
      </c>
      <c r="C3" s="16">
        <v>50000</v>
      </c>
      <c r="D3" s="36" t="s">
        <v>54</v>
      </c>
      <c r="F3" s="17" t="s">
        <v>121</v>
      </c>
      <c r="G3" s="16"/>
      <c r="H3" s="36"/>
      <c r="J3" s="35" t="s">
        <v>120</v>
      </c>
      <c r="K3" s="34">
        <f>G8</f>
        <v>15279377.713007156</v>
      </c>
      <c r="L3" s="33"/>
      <c r="M3" s="32"/>
      <c r="N3" s="32"/>
      <c r="O3" s="32"/>
      <c r="P3" s="32"/>
      <c r="Q3" s="32"/>
      <c r="R3" s="31"/>
      <c r="T3" s="9"/>
      <c r="U3" s="30"/>
    </row>
    <row r="4" spans="2:22" x14ac:dyDescent="0.2">
      <c r="B4" s="13" t="s">
        <v>123</v>
      </c>
      <c r="C4" s="8" t="s">
        <v>12</v>
      </c>
      <c r="D4" s="14"/>
      <c r="F4" s="42" t="s">
        <v>119</v>
      </c>
      <c r="G4" s="50">
        <f>C21*Sheet5!C7</f>
        <v>3609173.7982744952</v>
      </c>
      <c r="H4" s="44" t="s">
        <v>99</v>
      </c>
      <c r="I4" s="9"/>
      <c r="J4" s="27" t="s">
        <v>118</v>
      </c>
      <c r="K4" s="7">
        <v>0.38900000000000001</v>
      </c>
      <c r="M4" s="15"/>
      <c r="N4" s="15"/>
      <c r="O4" s="15"/>
      <c r="P4" s="15"/>
      <c r="Q4" s="15"/>
      <c r="R4" s="28"/>
      <c r="V4" s="29"/>
    </row>
    <row r="5" spans="2:22" x14ac:dyDescent="0.2">
      <c r="B5" s="13" t="s">
        <v>135</v>
      </c>
      <c r="C5" s="79">
        <f>HLOOKUP(C4,Sheet2!A3:E14,11,FALSE)</f>
        <v>0.43720218106442998</v>
      </c>
      <c r="D5" s="14" t="s">
        <v>4</v>
      </c>
      <c r="F5" s="42" t="s">
        <v>117</v>
      </c>
      <c r="G5" s="50">
        <f>G4/0.61*0.39</f>
        <v>2307504.5595525461</v>
      </c>
      <c r="H5" s="44" t="s">
        <v>99</v>
      </c>
      <c r="I5" s="9"/>
      <c r="J5" s="27" t="s">
        <v>116</v>
      </c>
      <c r="K5" s="7">
        <v>0.1</v>
      </c>
      <c r="M5" s="15"/>
      <c r="N5" s="15"/>
      <c r="O5" s="15"/>
      <c r="P5" s="15"/>
      <c r="Q5" s="15"/>
      <c r="R5" s="28"/>
    </row>
    <row r="6" spans="2:22" x14ac:dyDescent="0.2">
      <c r="B6" s="13" t="s">
        <v>134</v>
      </c>
      <c r="C6" s="8" t="str">
        <f>VLOOKUP(C4,Sheet5!F3:M6,8,FALSE)</f>
        <v>Gas</v>
      </c>
      <c r="D6" s="14"/>
      <c r="F6" s="42" t="s">
        <v>115</v>
      </c>
      <c r="G6" s="50">
        <f>Sheet5!C19*(C35/Sheet5!C20)^Sheet5!C18</f>
        <v>0</v>
      </c>
      <c r="H6" s="44" t="s">
        <v>99</v>
      </c>
      <c r="J6" s="27"/>
      <c r="K6" s="15"/>
      <c r="L6" s="15"/>
      <c r="M6" s="15"/>
      <c r="N6" s="15"/>
      <c r="O6" s="15"/>
      <c r="P6" s="15"/>
      <c r="Q6" s="15"/>
      <c r="R6" s="28"/>
      <c r="V6" s="6"/>
    </row>
    <row r="7" spans="2:22" x14ac:dyDescent="0.2">
      <c r="B7" s="13" t="s">
        <v>114</v>
      </c>
      <c r="C7" s="8">
        <v>350</v>
      </c>
      <c r="D7" s="14" t="s">
        <v>113</v>
      </c>
      <c r="F7" s="42" t="s">
        <v>112</v>
      </c>
      <c r="G7" s="50">
        <f>Sheet5!C14*((C31/Sheet5!C15)^Sheet5!C13+(C42/Sheet5!C15)^Sheet5!C13)</f>
        <v>9362699.3551801145</v>
      </c>
      <c r="H7" s="44" t="s">
        <v>99</v>
      </c>
      <c r="J7" s="27" t="s">
        <v>111</v>
      </c>
      <c r="K7" s="15" t="s">
        <v>110</v>
      </c>
      <c r="L7" s="15" t="s">
        <v>109</v>
      </c>
      <c r="M7" s="15" t="s">
        <v>108</v>
      </c>
      <c r="N7" s="15" t="s">
        <v>107</v>
      </c>
      <c r="O7" s="15" t="s">
        <v>106</v>
      </c>
      <c r="P7" s="22" t="s">
        <v>105</v>
      </c>
      <c r="Q7" s="22" t="s">
        <v>104</v>
      </c>
      <c r="R7" s="21" t="s">
        <v>103</v>
      </c>
    </row>
    <row r="8" spans="2:22" x14ac:dyDescent="0.2">
      <c r="B8" s="13" t="s">
        <v>102</v>
      </c>
      <c r="C8" s="8">
        <v>20</v>
      </c>
      <c r="D8" s="14" t="s">
        <v>101</v>
      </c>
      <c r="F8" s="42" t="s">
        <v>100</v>
      </c>
      <c r="G8" s="50">
        <f>SUM(G4:G7)</f>
        <v>15279377.713007156</v>
      </c>
      <c r="H8" s="44" t="s">
        <v>99</v>
      </c>
      <c r="J8" s="13">
        <v>0</v>
      </c>
      <c r="K8" s="15">
        <f>-K3</f>
        <v>-15279377.713007156</v>
      </c>
      <c r="L8" s="15">
        <f>0.05*K8</f>
        <v>-763968.88565035781</v>
      </c>
      <c r="M8" s="15"/>
      <c r="N8" s="15"/>
      <c r="O8" s="15"/>
      <c r="P8" s="22">
        <f>K8+L8</f>
        <v>-16043346.598657513</v>
      </c>
      <c r="Q8" s="22">
        <f t="shared" ref="Q8:Q28" si="0">P8*1/(1+$K$5)^ABS((--J8))</f>
        <v>-16043346.598657513</v>
      </c>
      <c r="R8" s="21">
        <f>Q8</f>
        <v>-16043346.598657513</v>
      </c>
    </row>
    <row r="9" spans="2:22" x14ac:dyDescent="0.2">
      <c r="B9" s="13" t="s">
        <v>98</v>
      </c>
      <c r="C9" s="8">
        <v>0.03</v>
      </c>
      <c r="D9" s="14" t="s">
        <v>97</v>
      </c>
      <c r="F9" s="42"/>
      <c r="G9" s="43"/>
      <c r="H9" s="44"/>
      <c r="J9" s="13">
        <v>1</v>
      </c>
      <c r="K9" s="15"/>
      <c r="L9" s="15"/>
      <c r="M9" s="15">
        <f>$K$8*Sheet5!I15/100</f>
        <v>-1527937.7713007154</v>
      </c>
      <c r="N9" s="15">
        <f t="shared" ref="N9:N28" si="1">$G$24</f>
        <v>2228144.7844461594</v>
      </c>
      <c r="O9" s="15">
        <f>(N9+M9)*(1-$K$4)</f>
        <v>427826.48503186629</v>
      </c>
      <c r="P9" s="22">
        <f>O9-M9</f>
        <v>1955764.2563325816</v>
      </c>
      <c r="Q9" s="22">
        <f t="shared" si="0"/>
        <v>1777967.5057568923</v>
      </c>
      <c r="R9" s="21">
        <f t="shared" ref="R9:R28" si="2">Q9+R8</f>
        <v>-14265379.092900621</v>
      </c>
    </row>
    <row r="10" spans="2:22" x14ac:dyDescent="0.2">
      <c r="B10" s="13"/>
      <c r="C10" s="8"/>
      <c r="D10" s="14"/>
      <c r="F10" s="42" t="s">
        <v>96</v>
      </c>
      <c r="G10" s="50"/>
      <c r="H10" s="44"/>
      <c r="J10" s="13">
        <v>2</v>
      </c>
      <c r="K10" s="15"/>
      <c r="L10" s="15"/>
      <c r="M10" s="15">
        <f>$K$8*Sheet5!I16/100</f>
        <v>-2750287.9883412882</v>
      </c>
      <c r="N10" s="15">
        <f t="shared" si="1"/>
        <v>2228144.7844461594</v>
      </c>
      <c r="O10" s="15">
        <f t="shared" ref="O10:O28" si="3">(N10+M10)*(1-$K$4)</f>
        <v>-319029.49757992371</v>
      </c>
      <c r="P10" s="22">
        <f t="shared" ref="P10:P27" si="4">O10-M10</f>
        <v>2431258.4907613643</v>
      </c>
      <c r="Q10" s="22">
        <f t="shared" si="0"/>
        <v>2009304.5378193092</v>
      </c>
      <c r="R10" s="21">
        <f t="shared" si="2"/>
        <v>-12256074.555081312</v>
      </c>
    </row>
    <row r="11" spans="2:22" x14ac:dyDescent="0.2">
      <c r="B11" s="13" t="s">
        <v>95</v>
      </c>
      <c r="C11" s="8"/>
      <c r="D11" s="14"/>
      <c r="F11" s="42" t="s">
        <v>94</v>
      </c>
      <c r="G11" s="50">
        <f>C9*C22*1000*24</f>
        <v>7746.372201117395</v>
      </c>
      <c r="H11" s="44" t="s">
        <v>73</v>
      </c>
      <c r="J11" s="13">
        <v>3</v>
      </c>
      <c r="K11" s="15"/>
      <c r="L11" s="15"/>
      <c r="M11" s="15">
        <f>$K$8*Sheet5!I17/100</f>
        <v>-2200230.3906730306</v>
      </c>
      <c r="N11" s="15">
        <f t="shared" si="1"/>
        <v>2228144.7844461594</v>
      </c>
      <c r="O11" s="15">
        <f t="shared" si="3"/>
        <v>17055.694595381661</v>
      </c>
      <c r="P11" s="22">
        <f t="shared" si="4"/>
        <v>2217286.0852684123</v>
      </c>
      <c r="Q11" s="22">
        <f t="shared" si="0"/>
        <v>1665879.8536952755</v>
      </c>
      <c r="R11" s="21">
        <f t="shared" si="2"/>
        <v>-10590194.701386036</v>
      </c>
    </row>
    <row r="12" spans="2:22" x14ac:dyDescent="0.2">
      <c r="B12" s="42" t="s">
        <v>93</v>
      </c>
      <c r="C12" s="43">
        <f>HLOOKUP(C4,Sheet2!A3:E12,5,FALSE)*0.001</f>
        <v>0.5</v>
      </c>
      <c r="D12" s="44" t="s">
        <v>92</v>
      </c>
      <c r="F12" s="42" t="s">
        <v>145</v>
      </c>
      <c r="G12" s="50">
        <f>G4*0.025/C7</f>
        <v>257.79812844817826</v>
      </c>
      <c r="H12" s="44" t="s">
        <v>73</v>
      </c>
      <c r="J12" s="13">
        <v>4</v>
      </c>
      <c r="K12" s="15"/>
      <c r="L12" s="15"/>
      <c r="M12" s="15">
        <f>$K$8*Sheet5!I18/100</f>
        <v>-1760184.3125384245</v>
      </c>
      <c r="N12" s="15">
        <f t="shared" si="1"/>
        <v>2228144.7844461594</v>
      </c>
      <c r="O12" s="15">
        <f t="shared" si="3"/>
        <v>285923.84833562601</v>
      </c>
      <c r="P12" s="22">
        <f t="shared" si="4"/>
        <v>2046108.1608740506</v>
      </c>
      <c r="Q12" s="22">
        <f t="shared" si="0"/>
        <v>1397519.4050092548</v>
      </c>
      <c r="R12" s="21">
        <f t="shared" si="2"/>
        <v>-9192675.2963767815</v>
      </c>
    </row>
    <row r="13" spans="2:22" x14ac:dyDescent="0.2">
      <c r="B13" s="42" t="s">
        <v>90</v>
      </c>
      <c r="C13" s="45">
        <f>HLOOKUP(C4,Sheet2!A3:E12,3,FALSE)</f>
        <v>2.5636369311577965</v>
      </c>
      <c r="D13" s="44" t="s">
        <v>19</v>
      </c>
      <c r="F13" s="42" t="s">
        <v>91</v>
      </c>
      <c r="G13" s="50">
        <f>(C35/Sheet5!C20)*Sheet5!C21</f>
        <v>0</v>
      </c>
      <c r="H13" s="44" t="s">
        <v>73</v>
      </c>
      <c r="J13" s="13">
        <v>5</v>
      </c>
      <c r="K13" s="15"/>
      <c r="L13" s="15"/>
      <c r="M13" s="15">
        <f>$K$8*Sheet5!I19/100</f>
        <v>-1408758.62513926</v>
      </c>
      <c r="N13" s="15">
        <f t="shared" si="1"/>
        <v>2228144.7844461594</v>
      </c>
      <c r="O13" s="15">
        <f t="shared" si="3"/>
        <v>500644.94333651551</v>
      </c>
      <c r="P13" s="22">
        <f t="shared" si="4"/>
        <v>1909403.5684757754</v>
      </c>
      <c r="Q13" s="22">
        <f t="shared" si="0"/>
        <v>1185589.3899918504</v>
      </c>
      <c r="R13" s="21">
        <f t="shared" si="2"/>
        <v>-8007085.9063849309</v>
      </c>
    </row>
    <row r="14" spans="2:22" x14ac:dyDescent="0.2">
      <c r="B14" s="42" t="s">
        <v>88</v>
      </c>
      <c r="C14" s="43">
        <f>HLOOKUP(C4,Sheet2!A3:E12,9,FALSE)</f>
        <v>95</v>
      </c>
      <c r="D14" s="44" t="s">
        <v>84</v>
      </c>
      <c r="F14" s="42" t="s">
        <v>89</v>
      </c>
      <c r="G14" s="45">
        <f>C31*Sheet5!C16*C9*24</f>
        <v>762.25137514492394</v>
      </c>
      <c r="H14" s="44" t="s">
        <v>73</v>
      </c>
      <c r="J14" s="13">
        <v>6</v>
      </c>
      <c r="K14" s="15"/>
      <c r="L14" s="15"/>
      <c r="M14" s="15">
        <f>$K$8*Sheet5!I20/100</f>
        <v>-1126090.1374486273</v>
      </c>
      <c r="N14" s="15">
        <f t="shared" si="1"/>
        <v>2228144.7844461594</v>
      </c>
      <c r="O14" s="15">
        <f t="shared" si="3"/>
        <v>673355.38931549212</v>
      </c>
      <c r="P14" s="22">
        <f t="shared" si="4"/>
        <v>1799445.5267641195</v>
      </c>
      <c r="Q14" s="22">
        <f t="shared" si="0"/>
        <v>1015740.0884102318</v>
      </c>
      <c r="R14" s="21">
        <f t="shared" si="2"/>
        <v>-6991345.8179746997</v>
      </c>
    </row>
    <row r="15" spans="2:22" x14ac:dyDescent="0.2">
      <c r="B15" s="42" t="s">
        <v>87</v>
      </c>
      <c r="C15" s="43">
        <f>HLOOKUP(C4,Sheet2!A3:E12,7,FALSE)</f>
        <v>30</v>
      </c>
      <c r="D15" s="44" t="s">
        <v>84</v>
      </c>
      <c r="F15" s="42" t="s">
        <v>144</v>
      </c>
      <c r="G15" s="50">
        <f>C42*Sheet5!C16*C9*24</f>
        <v>470.96238979386942</v>
      </c>
      <c r="H15" s="44" t="s">
        <v>73</v>
      </c>
      <c r="J15" s="13">
        <v>7</v>
      </c>
      <c r="K15" s="15"/>
      <c r="L15" s="15"/>
      <c r="M15" s="15">
        <f>$K$8*Sheet5!I21/100</f>
        <v>-1000799.2402019687</v>
      </c>
      <c r="N15" s="15">
        <f t="shared" si="1"/>
        <v>2228144.7844461594</v>
      </c>
      <c r="O15" s="15">
        <f t="shared" si="3"/>
        <v>749908.12753320055</v>
      </c>
      <c r="P15" s="22">
        <f t="shared" si="4"/>
        <v>1750707.3677351694</v>
      </c>
      <c r="Q15" s="22">
        <f t="shared" si="0"/>
        <v>898389.69839961291</v>
      </c>
      <c r="R15" s="21">
        <f t="shared" si="2"/>
        <v>-6092956.119575087</v>
      </c>
    </row>
    <row r="16" spans="2:22" x14ac:dyDescent="0.2">
      <c r="B16" s="42" t="s">
        <v>85</v>
      </c>
      <c r="C16" s="43">
        <f>IF(VLOOKUP(C4,Sheet5!F3:N6,3,FALSE)=2,C15,C15*3)</f>
        <v>30</v>
      </c>
      <c r="D16" s="44" t="s">
        <v>84</v>
      </c>
      <c r="E16" s="1" t="s">
        <v>42</v>
      </c>
      <c r="F16" s="42" t="s">
        <v>86</v>
      </c>
      <c r="G16" s="50">
        <f>C23/1000*Sheet5!C2</f>
        <v>3307.0895732727031</v>
      </c>
      <c r="H16" s="44" t="s">
        <v>73</v>
      </c>
      <c r="J16" s="13">
        <v>8</v>
      </c>
      <c r="K16" s="15"/>
      <c r="L16" s="15"/>
      <c r="M16" s="15">
        <f>$K$8*Sheet5!I22/100</f>
        <v>-1000799.2402019687</v>
      </c>
      <c r="N16" s="15">
        <f t="shared" si="1"/>
        <v>2228144.7844461594</v>
      </c>
      <c r="O16" s="15">
        <f t="shared" si="3"/>
        <v>749908.12753320055</v>
      </c>
      <c r="P16" s="22">
        <f t="shared" si="4"/>
        <v>1750707.3677351694</v>
      </c>
      <c r="Q16" s="22">
        <f t="shared" si="0"/>
        <v>816717.90763601183</v>
      </c>
      <c r="R16" s="21">
        <f t="shared" si="2"/>
        <v>-5276238.211939075</v>
      </c>
      <c r="V16" s="26"/>
    </row>
    <row r="17" spans="1:19" x14ac:dyDescent="0.2">
      <c r="B17" s="13"/>
      <c r="D17" s="14"/>
      <c r="F17" s="42" t="s">
        <v>83</v>
      </c>
      <c r="G17" s="50">
        <f>C41*Sheet5!C23</f>
        <v>24.126947142937674</v>
      </c>
      <c r="H17" s="44" t="s">
        <v>73</v>
      </c>
      <c r="J17" s="13">
        <v>9</v>
      </c>
      <c r="K17" s="15"/>
      <c r="L17" s="15"/>
      <c r="M17" s="15">
        <f>$K$8*Sheet5!I23/100</f>
        <v>-1002327.1779732694</v>
      </c>
      <c r="N17" s="15">
        <f t="shared" si="1"/>
        <v>2228144.7844461594</v>
      </c>
      <c r="O17" s="15">
        <f t="shared" si="3"/>
        <v>748974.55755493569</v>
      </c>
      <c r="P17" s="22">
        <f t="shared" si="4"/>
        <v>1751301.7355282051</v>
      </c>
      <c r="Q17" s="22">
        <f t="shared" si="0"/>
        <v>742722.89508911083</v>
      </c>
      <c r="R17" s="21">
        <f t="shared" si="2"/>
        <v>-4533515.3168499637</v>
      </c>
    </row>
    <row r="18" spans="1:19" x14ac:dyDescent="0.2">
      <c r="B18" s="13" t="s">
        <v>82</v>
      </c>
      <c r="C18" s="8"/>
      <c r="D18" s="14"/>
      <c r="F18" s="42" t="s">
        <v>28</v>
      </c>
      <c r="G18" s="45">
        <f>(G4*Sheet5!C9/100)/365/7</f>
        <v>211.88887269713277</v>
      </c>
      <c r="H18" s="44" t="s">
        <v>73</v>
      </c>
      <c r="J18" s="13">
        <v>10</v>
      </c>
      <c r="K18" s="15"/>
      <c r="L18" s="15"/>
      <c r="M18" s="15">
        <f>$K$8*Sheet5!I24/100</f>
        <v>-1000799.2402019687</v>
      </c>
      <c r="N18" s="15">
        <f t="shared" si="1"/>
        <v>2228144.7844461594</v>
      </c>
      <c r="O18" s="15">
        <f t="shared" si="3"/>
        <v>749908.12753320055</v>
      </c>
      <c r="P18" s="22">
        <f t="shared" si="4"/>
        <v>1750707.3677351694</v>
      </c>
      <c r="Q18" s="22">
        <f t="shared" si="0"/>
        <v>674973.47738513362</v>
      </c>
      <c r="R18" s="21">
        <f t="shared" si="2"/>
        <v>-3858541.8394648302</v>
      </c>
    </row>
    <row r="19" spans="1:19" x14ac:dyDescent="0.2">
      <c r="B19" s="13" t="s">
        <v>81</v>
      </c>
      <c r="C19" s="2">
        <f>VLOOKUP(C4,Sheet5!F3:M6,3,FALSE)</f>
        <v>2</v>
      </c>
      <c r="D19" s="14"/>
      <c r="F19" s="42" t="s">
        <v>29</v>
      </c>
      <c r="G19" s="45">
        <f>Sheet5!C10*C21/365</f>
        <v>2713.4916100439018</v>
      </c>
      <c r="H19" s="44" t="s">
        <v>73</v>
      </c>
      <c r="J19" s="13">
        <v>11</v>
      </c>
      <c r="K19" s="15"/>
      <c r="L19" s="15"/>
      <c r="M19" s="15">
        <f>$K$8*Sheet5!I25/100</f>
        <v>-501163.58898663468</v>
      </c>
      <c r="N19" s="15">
        <f t="shared" si="1"/>
        <v>2228144.7844461594</v>
      </c>
      <c r="O19" s="15">
        <f t="shared" si="3"/>
        <v>1055185.5104257695</v>
      </c>
      <c r="P19" s="22">
        <f t="shared" si="4"/>
        <v>1556349.0994124042</v>
      </c>
      <c r="Q19" s="22">
        <f t="shared" si="0"/>
        <v>545490.86480740644</v>
      </c>
      <c r="R19" s="21">
        <f t="shared" si="2"/>
        <v>-3313050.9746574238</v>
      </c>
    </row>
    <row r="20" spans="1:19" x14ac:dyDescent="0.2">
      <c r="B20" s="42" t="s">
        <v>80</v>
      </c>
      <c r="C20" s="50">
        <f>C3/24/3600*1000/VLOOKUP(C4,Sheet5!F3:N6,6,FALSE)*C19*96485/(C14/100)</f>
        <v>4196713.7189238314</v>
      </c>
      <c r="D20" s="44" t="s">
        <v>79</v>
      </c>
      <c r="F20" s="13"/>
      <c r="H20" s="14"/>
      <c r="J20" s="13">
        <v>12</v>
      </c>
      <c r="K20" s="15"/>
      <c r="L20" s="15"/>
      <c r="M20" s="15"/>
      <c r="N20" s="15">
        <f t="shared" si="1"/>
        <v>2228144.7844461594</v>
      </c>
      <c r="O20" s="15">
        <f t="shared" si="3"/>
        <v>1361396.4632966034</v>
      </c>
      <c r="P20" s="22">
        <f t="shared" si="4"/>
        <v>1361396.4632966034</v>
      </c>
      <c r="Q20" s="22">
        <f t="shared" si="0"/>
        <v>433782.86832818418</v>
      </c>
      <c r="R20" s="21">
        <f t="shared" si="2"/>
        <v>-2879268.1063292394</v>
      </c>
    </row>
    <row r="21" spans="1:19" x14ac:dyDescent="0.2">
      <c r="B21" s="42" t="s">
        <v>77</v>
      </c>
      <c r="C21" s="45">
        <f>C20/C12/10^4</f>
        <v>839.3427437847663</v>
      </c>
      <c r="D21" s="44" t="s">
        <v>76</v>
      </c>
      <c r="F21" s="13" t="s">
        <v>78</v>
      </c>
      <c r="G21" s="23">
        <f>SUM(G11:G19)</f>
        <v>15493.981097661042</v>
      </c>
      <c r="H21" s="14" t="s">
        <v>73</v>
      </c>
      <c r="J21" s="13">
        <v>13</v>
      </c>
      <c r="K21" s="15"/>
      <c r="L21" s="15"/>
      <c r="M21" s="15"/>
      <c r="N21" s="15">
        <f t="shared" si="1"/>
        <v>2228144.7844461594</v>
      </c>
      <c r="O21" s="15">
        <f t="shared" si="3"/>
        <v>1361396.4632966034</v>
      </c>
      <c r="P21" s="22">
        <f t="shared" si="4"/>
        <v>1361396.4632966034</v>
      </c>
      <c r="Q21" s="22">
        <f t="shared" si="0"/>
        <v>394348.06211653107</v>
      </c>
      <c r="R21" s="21">
        <f t="shared" si="2"/>
        <v>-2484920.0442127082</v>
      </c>
    </row>
    <row r="22" spans="1:19" x14ac:dyDescent="0.2">
      <c r="B22" s="42" t="s">
        <v>75</v>
      </c>
      <c r="C22" s="45">
        <f>C20*C13/10^6</f>
        <v>10.758850279329714</v>
      </c>
      <c r="D22" s="44" t="s">
        <v>141</v>
      </c>
      <c r="F22" s="13"/>
      <c r="H22" s="14"/>
      <c r="J22" s="13">
        <v>14</v>
      </c>
      <c r="K22" s="15"/>
      <c r="L22" s="15"/>
      <c r="M22" s="15"/>
      <c r="N22" s="15">
        <f t="shared" si="1"/>
        <v>2228144.7844461594</v>
      </c>
      <c r="O22" s="15">
        <f t="shared" si="3"/>
        <v>1361396.4632966034</v>
      </c>
      <c r="P22" s="22">
        <f t="shared" si="4"/>
        <v>1361396.4632966034</v>
      </c>
      <c r="Q22" s="22">
        <f t="shared" si="0"/>
        <v>358498.2382877554</v>
      </c>
      <c r="R22" s="21">
        <f t="shared" si="2"/>
        <v>-2126421.805924953</v>
      </c>
    </row>
    <row r="23" spans="1:19" x14ac:dyDescent="0.2">
      <c r="B23" s="42" t="s">
        <v>72</v>
      </c>
      <c r="C23" s="45">
        <f>C20/96485/VLOOKUP(C4,Sheet5!F3:M6,4,FALSE)*44/1000*3600*24</f>
        <v>82677.239331817575</v>
      </c>
      <c r="D23" s="44" t="s">
        <v>54</v>
      </c>
      <c r="F23" s="13" t="s">
        <v>74</v>
      </c>
      <c r="G23" s="23">
        <f>C3*C5</f>
        <v>21860.109053221498</v>
      </c>
      <c r="H23" s="14" t="s">
        <v>73</v>
      </c>
      <c r="J23" s="13">
        <v>15</v>
      </c>
      <c r="K23" s="15"/>
      <c r="L23" s="15"/>
      <c r="M23" s="15"/>
      <c r="N23" s="15">
        <f t="shared" si="1"/>
        <v>2228144.7844461594</v>
      </c>
      <c r="O23" s="15">
        <f t="shared" si="3"/>
        <v>1361396.4632966034</v>
      </c>
      <c r="P23" s="22">
        <f t="shared" si="4"/>
        <v>1361396.4632966034</v>
      </c>
      <c r="Q23" s="22">
        <f t="shared" si="0"/>
        <v>325907.48935250496</v>
      </c>
      <c r="R23" s="21">
        <f t="shared" si="2"/>
        <v>-1800514.316572448</v>
      </c>
    </row>
    <row r="24" spans="1:19" x14ac:dyDescent="0.2">
      <c r="B24" s="42" t="s">
        <v>69</v>
      </c>
      <c r="C24" s="45">
        <f>C23/(C15/100)</f>
        <v>275590.79777272529</v>
      </c>
      <c r="D24" s="44" t="s">
        <v>54</v>
      </c>
      <c r="F24" s="13" t="s">
        <v>71</v>
      </c>
      <c r="G24" s="23">
        <f>(G23-G21)*C7</f>
        <v>2228144.7844461594</v>
      </c>
      <c r="H24" s="14" t="s">
        <v>70</v>
      </c>
      <c r="J24" s="13">
        <v>16</v>
      </c>
      <c r="K24" s="15"/>
      <c r="L24" s="15"/>
      <c r="M24" s="15"/>
      <c r="N24" s="15">
        <f t="shared" si="1"/>
        <v>2228144.7844461594</v>
      </c>
      <c r="O24" s="15">
        <f t="shared" si="3"/>
        <v>1361396.4632966034</v>
      </c>
      <c r="P24" s="22">
        <f t="shared" si="4"/>
        <v>1361396.4632966034</v>
      </c>
      <c r="Q24" s="22">
        <f t="shared" si="0"/>
        <v>296279.53577500448</v>
      </c>
      <c r="R24" s="21">
        <f t="shared" si="2"/>
        <v>-1504234.7807974436</v>
      </c>
    </row>
    <row r="25" spans="1:19" x14ac:dyDescent="0.2">
      <c r="B25" s="42"/>
      <c r="C25" s="46"/>
      <c r="D25" s="44"/>
      <c r="F25" s="13"/>
      <c r="G25" s="23"/>
      <c r="H25" s="14"/>
      <c r="J25" s="13">
        <v>17</v>
      </c>
      <c r="K25" s="15"/>
      <c r="L25" s="15"/>
      <c r="M25" s="15"/>
      <c r="N25" s="15">
        <f t="shared" si="1"/>
        <v>2228144.7844461594</v>
      </c>
      <c r="O25" s="15">
        <f t="shared" si="3"/>
        <v>1361396.4632966034</v>
      </c>
      <c r="P25" s="22">
        <f t="shared" si="4"/>
        <v>1361396.4632966034</v>
      </c>
      <c r="Q25" s="22">
        <f t="shared" si="0"/>
        <v>269345.03252273134</v>
      </c>
      <c r="R25" s="21">
        <f t="shared" si="2"/>
        <v>-1234889.7482747124</v>
      </c>
    </row>
    <row r="26" spans="1:19" x14ac:dyDescent="0.2">
      <c r="A26" s="69" t="s">
        <v>66</v>
      </c>
      <c r="B26" s="42" t="s">
        <v>55</v>
      </c>
      <c r="C26" s="45">
        <f>C24*(1-((C15+C16)/100))</f>
        <v>110236.31910909012</v>
      </c>
      <c r="D26" s="44" t="s">
        <v>54</v>
      </c>
      <c r="F26" s="12" t="s">
        <v>68</v>
      </c>
      <c r="G26" s="25">
        <f>G8/G24</f>
        <v>6.8574438338418329</v>
      </c>
      <c r="H26" s="24" t="s">
        <v>67</v>
      </c>
      <c r="J26" s="13">
        <v>18</v>
      </c>
      <c r="K26" s="15"/>
      <c r="L26" s="15"/>
      <c r="M26" s="15"/>
      <c r="N26" s="15">
        <f t="shared" si="1"/>
        <v>2228144.7844461594</v>
      </c>
      <c r="O26" s="15">
        <f t="shared" si="3"/>
        <v>1361396.4632966034</v>
      </c>
      <c r="P26" s="22">
        <f t="shared" si="4"/>
        <v>1361396.4632966034</v>
      </c>
      <c r="Q26" s="22">
        <f t="shared" si="0"/>
        <v>244859.12047521028</v>
      </c>
      <c r="R26" s="21">
        <f t="shared" si="2"/>
        <v>-990030.62779950211</v>
      </c>
    </row>
    <row r="27" spans="1:19" x14ac:dyDescent="0.2">
      <c r="B27" s="42"/>
      <c r="C27" s="45">
        <f>C26/1.98/24</f>
        <v>2319.7878600397753</v>
      </c>
      <c r="D27" s="44" t="s">
        <v>39</v>
      </c>
      <c r="G27" s="23"/>
      <c r="J27" s="13">
        <v>19</v>
      </c>
      <c r="K27" s="15"/>
      <c r="L27" s="15"/>
      <c r="M27" s="15"/>
      <c r="N27" s="15">
        <f t="shared" si="1"/>
        <v>2228144.7844461594</v>
      </c>
      <c r="O27" s="15">
        <f t="shared" si="3"/>
        <v>1361396.4632966034</v>
      </c>
      <c r="P27" s="22">
        <f t="shared" si="4"/>
        <v>1361396.4632966034</v>
      </c>
      <c r="Q27" s="22">
        <f t="shared" si="0"/>
        <v>222599.2004320093</v>
      </c>
      <c r="R27" s="21">
        <f t="shared" si="2"/>
        <v>-767431.42736749281</v>
      </c>
      <c r="S27" s="15"/>
    </row>
    <row r="28" spans="1:19" x14ac:dyDescent="0.2">
      <c r="B28" s="42" t="s">
        <v>65</v>
      </c>
      <c r="C28" s="45">
        <f>IF(C6="Liq",0,C3/VLOOKUP(C4,Sheet5!F3:M6,7,FALSE)/24)</f>
        <v>1827.4853801169593</v>
      </c>
      <c r="D28" s="44" t="s">
        <v>39</v>
      </c>
      <c r="J28" s="12">
        <v>20</v>
      </c>
      <c r="K28" s="20"/>
      <c r="L28" s="20">
        <f>-L8+0.2*ABS(K8)</f>
        <v>3819844.428251789</v>
      </c>
      <c r="M28" s="20"/>
      <c r="N28" s="20">
        <f t="shared" si="1"/>
        <v>2228144.7844461594</v>
      </c>
      <c r="O28" s="15">
        <f t="shared" si="3"/>
        <v>1361396.4632966034</v>
      </c>
      <c r="P28" s="19">
        <f t="shared" ref="P28" si="5">O28+M28+L28</f>
        <v>5181240.8915483924</v>
      </c>
      <c r="Q28" s="19">
        <f t="shared" si="0"/>
        <v>770158.44378680084</v>
      </c>
      <c r="R28" s="41">
        <f t="shared" si="2"/>
        <v>2727.0164193080273</v>
      </c>
    </row>
    <row r="29" spans="1:19" x14ac:dyDescent="0.2">
      <c r="B29" s="42" t="s">
        <v>63</v>
      </c>
      <c r="C29" s="45">
        <f>C20*(100-C14)/100/2/96485</f>
        <v>1.0874005593936442</v>
      </c>
      <c r="D29" s="44" t="s">
        <v>62</v>
      </c>
      <c r="I29" s="8"/>
      <c r="Q29" s="1" t="s">
        <v>64</v>
      </c>
      <c r="R29" s="18">
        <f>R28/10^6</f>
        <v>2.7270164193080272E-3</v>
      </c>
      <c r="S29" s="7"/>
    </row>
    <row r="30" spans="1:19" x14ac:dyDescent="0.2">
      <c r="B30" s="42"/>
      <c r="C30" s="45">
        <f>C29*2.008/1000/0.08988*3600</f>
        <v>87.456621759510185</v>
      </c>
      <c r="D30" s="44" t="s">
        <v>39</v>
      </c>
    </row>
    <row r="31" spans="1:19" x14ac:dyDescent="0.2">
      <c r="B31" s="42" t="s">
        <v>61</v>
      </c>
      <c r="C31" s="45">
        <f>SUM(C27,C28,C30)</f>
        <v>4234.7298619162448</v>
      </c>
      <c r="D31" s="44" t="s">
        <v>39</v>
      </c>
      <c r="J31" s="15"/>
    </row>
    <row r="32" spans="1:19" x14ac:dyDescent="0.2">
      <c r="B32" s="42"/>
      <c r="C32" s="46"/>
      <c r="D32" s="44"/>
      <c r="H32" s="9"/>
      <c r="I32" s="8"/>
      <c r="J32" s="8"/>
      <c r="K32" s="8"/>
    </row>
    <row r="33" spans="1:45" x14ac:dyDescent="0.2">
      <c r="B33" s="42" t="s">
        <v>59</v>
      </c>
      <c r="C33" s="45">
        <f>IF(C6="Gas",0,C3/VLOOKUP(C4,Sheet5!F3:M6,7,FALSE)/24)</f>
        <v>0</v>
      </c>
      <c r="D33" s="44" t="s">
        <v>39</v>
      </c>
      <c r="H33" s="8"/>
      <c r="K33" s="7"/>
    </row>
    <row r="34" spans="1:45" x14ac:dyDescent="0.2">
      <c r="B34" s="42"/>
      <c r="C34" s="45">
        <f>C33*1000/60</f>
        <v>0</v>
      </c>
      <c r="D34" s="44" t="s">
        <v>46</v>
      </c>
      <c r="H34" s="8"/>
      <c r="I34" s="9"/>
      <c r="K34" s="7"/>
    </row>
    <row r="35" spans="1:45" x14ac:dyDescent="0.2">
      <c r="B35" s="42" t="s">
        <v>58</v>
      </c>
      <c r="C35" s="45">
        <f>C34/0.1</f>
        <v>0</v>
      </c>
      <c r="D35" s="44" t="s">
        <v>46</v>
      </c>
      <c r="H35" s="8"/>
      <c r="K35" s="7"/>
    </row>
    <row r="36" spans="1:45" x14ac:dyDescent="0.2">
      <c r="B36" s="42"/>
      <c r="C36" s="46"/>
      <c r="D36" s="44"/>
      <c r="H36" s="8"/>
      <c r="K36" s="7"/>
    </row>
    <row r="37" spans="1:45" x14ac:dyDescent="0.2">
      <c r="A37" s="69" t="s">
        <v>57</v>
      </c>
      <c r="B37" s="42" t="s">
        <v>56</v>
      </c>
      <c r="C37" s="45">
        <f>C20*0.032*86400/96485/4</f>
        <v>30064.450666115481</v>
      </c>
      <c r="D37" s="44" t="s">
        <v>54</v>
      </c>
      <c r="H37" s="8"/>
      <c r="K37" s="7"/>
    </row>
    <row r="38" spans="1:45" x14ac:dyDescent="0.2">
      <c r="B38" s="42"/>
      <c r="C38" s="45">
        <f>C37/1.429/24</f>
        <v>876.61682604722057</v>
      </c>
      <c r="D38" s="44" t="s">
        <v>39</v>
      </c>
      <c r="G38" s="8"/>
      <c r="H38" s="8"/>
      <c r="K38" s="7"/>
    </row>
    <row r="39" spans="1:45" x14ac:dyDescent="0.2">
      <c r="B39" s="42" t="s">
        <v>55</v>
      </c>
      <c r="C39" s="45">
        <f>C24*(C16/100)</f>
        <v>82677.239331817589</v>
      </c>
      <c r="D39" s="44" t="s">
        <v>54</v>
      </c>
      <c r="L39" s="8"/>
      <c r="M39" s="8"/>
      <c r="P39" s="7"/>
    </row>
    <row r="40" spans="1:45" x14ac:dyDescent="0.2">
      <c r="B40" s="42"/>
      <c r="C40" s="45">
        <f>C39/1.98/24</f>
        <v>1739.8408950298315</v>
      </c>
      <c r="D40" s="44" t="s">
        <v>39</v>
      </c>
      <c r="L40" s="8"/>
      <c r="M40" s="8"/>
      <c r="N40" s="7"/>
      <c r="P40" s="7"/>
    </row>
    <row r="41" spans="1:45" x14ac:dyDescent="0.2">
      <c r="B41" s="42" t="s">
        <v>53</v>
      </c>
      <c r="C41" s="45">
        <f>C20/4/96485*18/1000*24*3600*0.2642</f>
        <v>4467.9531746180874</v>
      </c>
      <c r="D41" s="44" t="s">
        <v>52</v>
      </c>
      <c r="L41" s="8"/>
      <c r="O41" s="3"/>
      <c r="P41" s="3"/>
    </row>
    <row r="42" spans="1:45" x14ac:dyDescent="0.2">
      <c r="B42" s="47" t="s">
        <v>51</v>
      </c>
      <c r="C42" s="48">
        <f>SUM(C38,C40)</f>
        <v>2616.4577210770522</v>
      </c>
      <c r="D42" s="49" t="s">
        <v>39</v>
      </c>
      <c r="F42" s="9"/>
      <c r="G42" s="8"/>
      <c r="H42" s="8"/>
      <c r="J42" s="9"/>
      <c r="K42" s="9"/>
      <c r="L42" s="8"/>
      <c r="M42" s="8"/>
      <c r="N42" s="8"/>
      <c r="O42" s="3"/>
      <c r="R42" s="3"/>
    </row>
    <row r="43" spans="1:45" ht="21" x14ac:dyDescent="0.25">
      <c r="B43" s="10"/>
      <c r="F43" s="8"/>
      <c r="K43" s="8"/>
      <c r="M43" s="11"/>
      <c r="O43" s="3"/>
      <c r="P43" s="9"/>
      <c r="Q43" s="8"/>
      <c r="R43" s="8"/>
      <c r="S43" s="8"/>
    </row>
    <row r="44" spans="1:45" ht="21" x14ac:dyDescent="0.25">
      <c r="B44" s="10"/>
      <c r="F44" s="8"/>
      <c r="G44" s="9"/>
      <c r="J44" s="3"/>
      <c r="K44" s="8"/>
      <c r="O44" s="3"/>
      <c r="P44" s="8"/>
      <c r="Q44" s="9"/>
      <c r="S44" s="7"/>
      <c r="X44" s="7"/>
    </row>
    <row r="45" spans="1:45" ht="21" x14ac:dyDescent="0.25">
      <c r="B45" s="10"/>
      <c r="F45" s="8"/>
      <c r="J45" s="2"/>
      <c r="K45" s="8"/>
      <c r="O45" s="2"/>
      <c r="P45" s="8"/>
      <c r="S45" s="7"/>
      <c r="X45" s="3"/>
      <c r="Y45" s="9"/>
      <c r="Z45" s="9"/>
      <c r="AA45" s="9"/>
      <c r="AC45" s="9"/>
      <c r="AE45" s="9"/>
      <c r="AG45" s="9"/>
      <c r="AI45" s="9"/>
      <c r="AK45" s="9"/>
      <c r="AM45" s="9"/>
      <c r="AO45" s="9"/>
      <c r="AQ45" s="9"/>
      <c r="AS45" s="9"/>
    </row>
    <row r="46" spans="1:45" x14ac:dyDescent="0.2">
      <c r="F46" s="8"/>
      <c r="J46" s="2"/>
      <c r="K46" s="8"/>
      <c r="O46" s="2"/>
      <c r="P46" s="8"/>
      <c r="S46" s="7"/>
      <c r="T46" s="2"/>
      <c r="Z46" s="6"/>
    </row>
    <row r="47" spans="1:45" x14ac:dyDescent="0.2">
      <c r="B47" s="8"/>
      <c r="C47" s="2"/>
      <c r="D47" s="2"/>
      <c r="F47" s="8"/>
      <c r="J47" s="2"/>
      <c r="K47" s="8"/>
      <c r="O47" s="2"/>
      <c r="P47" s="8"/>
      <c r="S47" s="7"/>
      <c r="T47" s="2"/>
      <c r="Z47" s="6"/>
    </row>
    <row r="48" spans="1:45" x14ac:dyDescent="0.2">
      <c r="F48" s="8"/>
      <c r="J48" s="2"/>
      <c r="K48" s="8"/>
      <c r="O48" s="2"/>
      <c r="P48" s="8"/>
      <c r="S48" s="7"/>
      <c r="T48" s="2"/>
      <c r="Z48" s="6"/>
      <c r="AC48" s="9"/>
      <c r="AD48" s="9"/>
      <c r="AE48" s="9"/>
      <c r="AF48" s="9"/>
      <c r="AG48" s="9"/>
      <c r="AH48" s="9"/>
    </row>
    <row r="49" spans="2:26" x14ac:dyDescent="0.2">
      <c r="F49" s="8"/>
      <c r="J49" s="9"/>
      <c r="K49" s="8"/>
      <c r="O49" s="3"/>
      <c r="P49" s="8"/>
      <c r="S49" s="7"/>
      <c r="T49" s="2"/>
      <c r="Y49" s="9"/>
      <c r="Z49" s="6"/>
    </row>
    <row r="50" spans="2:26" x14ac:dyDescent="0.2">
      <c r="B50" s="3"/>
      <c r="C50" s="2"/>
      <c r="D50" s="2"/>
      <c r="F50" s="8"/>
      <c r="J50" s="2"/>
      <c r="K50" s="8"/>
      <c r="O50" s="2"/>
      <c r="P50" s="8"/>
      <c r="S50" s="7"/>
      <c r="T50" s="2"/>
      <c r="Y50" s="9"/>
      <c r="Z50" s="6"/>
    </row>
    <row r="51" spans="2:26" x14ac:dyDescent="0.2">
      <c r="B51" s="2"/>
      <c r="C51" s="2"/>
      <c r="D51" s="2"/>
      <c r="E51" s="2"/>
      <c r="F51" s="2"/>
      <c r="G51" s="2"/>
      <c r="H51" s="3"/>
      <c r="I51" s="3"/>
      <c r="J51" s="2"/>
      <c r="K51" s="2"/>
      <c r="L51" s="2"/>
      <c r="M51" s="2"/>
      <c r="N51" s="2"/>
      <c r="O51" s="2"/>
      <c r="P51" s="8"/>
      <c r="S51" s="7"/>
      <c r="T51" s="2"/>
      <c r="Z51" s="6"/>
    </row>
    <row r="52" spans="2:26" x14ac:dyDescent="0.2">
      <c r="B52" s="2"/>
      <c r="C52" s="2"/>
      <c r="D52" s="2"/>
      <c r="E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Z52" s="6"/>
    </row>
    <row r="53" spans="2:26" x14ac:dyDescent="0.2">
      <c r="B53" s="2"/>
      <c r="C53" s="2"/>
      <c r="D53" s="2"/>
      <c r="E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Z53" s="6"/>
    </row>
    <row r="54" spans="2:26" x14ac:dyDescent="0.2">
      <c r="B54" s="2"/>
      <c r="C54" s="2"/>
      <c r="D54" s="2"/>
      <c r="E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2:26" x14ac:dyDescent="0.2">
      <c r="B55" s="2"/>
      <c r="C55" s="2"/>
      <c r="D55" s="2"/>
      <c r="E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2:26" x14ac:dyDescent="0.2">
      <c r="B56" s="2"/>
      <c r="C56" s="2"/>
      <c r="D56" s="2"/>
      <c r="E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2:26" x14ac:dyDescent="0.2">
      <c r="B57" s="3"/>
      <c r="C57" s="2"/>
      <c r="D57" s="2"/>
      <c r="E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2:26" ht="16" x14ac:dyDescent="0.2">
      <c r="B58" s="2"/>
      <c r="C58" s="2"/>
      <c r="D58" s="2"/>
      <c r="E58" s="2"/>
      <c r="F58" s="5"/>
      <c r="G58" s="2"/>
      <c r="H58" s="3"/>
      <c r="I58" s="3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2:26" x14ac:dyDescent="0.2">
      <c r="B59" s="2"/>
      <c r="C59" s="2"/>
      <c r="D59" s="2"/>
      <c r="E59" s="2"/>
      <c r="F59" s="2"/>
      <c r="G59" s="2"/>
      <c r="H59" s="2"/>
      <c r="I59" s="3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2:26" x14ac:dyDescent="0.2">
      <c r="B60" s="2"/>
      <c r="C60" s="2"/>
      <c r="D60" s="2"/>
      <c r="E60" s="2"/>
      <c r="F60" s="2"/>
      <c r="G60" s="2"/>
      <c r="H60" s="2"/>
      <c r="I60" s="3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2:26" ht="16" x14ac:dyDescent="0.2">
      <c r="B61" s="2"/>
      <c r="C61" s="2"/>
      <c r="D61" s="2"/>
      <c r="E61" s="2"/>
      <c r="F61" s="2"/>
      <c r="G61" s="2"/>
      <c r="H61" s="2"/>
      <c r="I61" s="3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4"/>
    </row>
    <row r="62" spans="2:26" ht="16" x14ac:dyDescent="0.2">
      <c r="B62" s="2"/>
      <c r="C62" s="2"/>
      <c r="D62" s="2"/>
      <c r="E62" s="2"/>
      <c r="F62" s="2"/>
      <c r="G62" s="2"/>
      <c r="H62" s="2"/>
      <c r="I62" s="3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4"/>
    </row>
    <row r="63" spans="2:26" ht="16" x14ac:dyDescent="0.2">
      <c r="B63" s="2"/>
      <c r="C63" s="2"/>
      <c r="D63" s="2"/>
      <c r="E63" s="2"/>
      <c r="F63" s="2"/>
      <c r="G63" s="2"/>
      <c r="H63" s="2"/>
      <c r="I63" s="3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4"/>
    </row>
    <row r="64" spans="2:26" ht="16" x14ac:dyDescent="0.2">
      <c r="B64" s="2"/>
      <c r="C64" s="2"/>
      <c r="D64" s="2"/>
      <c r="E64" s="2"/>
      <c r="F64" s="2"/>
      <c r="G64" s="2"/>
      <c r="H64" s="2"/>
      <c r="I64" s="3"/>
      <c r="O64" s="2"/>
      <c r="U64" s="4"/>
    </row>
    <row r="65" spans="5:21" ht="16" x14ac:dyDescent="0.2">
      <c r="E65" s="2"/>
      <c r="F65" s="2"/>
      <c r="G65" s="2"/>
      <c r="H65" s="2"/>
      <c r="I65" s="3"/>
      <c r="O65" s="2"/>
      <c r="U65" s="4"/>
    </row>
    <row r="66" spans="5:21" x14ac:dyDescent="0.2">
      <c r="I66" s="3"/>
      <c r="O66" s="2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4C1C0-FCE5-3948-8551-481C9E86666B}">
  <sheetPr codeName="Sheet3"/>
  <dimension ref="A1:E14"/>
  <sheetViews>
    <sheetView workbookViewId="0">
      <selection activeCell="F21" sqref="F21"/>
    </sheetView>
  </sheetViews>
  <sheetFormatPr baseColWidth="10" defaultRowHeight="16" x14ac:dyDescent="0.2"/>
  <cols>
    <col min="1" max="1" width="14.83203125" customWidth="1"/>
    <col min="3" max="3" width="12.83203125" customWidth="1"/>
  </cols>
  <sheetData>
    <row r="1" spans="1:5" ht="17" thickBot="1" x14ac:dyDescent="0.25"/>
    <row r="2" spans="1:5" ht="18" thickBot="1" x14ac:dyDescent="0.25">
      <c r="A2" s="70" t="s">
        <v>137</v>
      </c>
      <c r="B2" s="91" t="s">
        <v>142</v>
      </c>
      <c r="C2" s="91"/>
      <c r="D2" s="91"/>
      <c r="E2" s="92"/>
    </row>
    <row r="3" spans="1:5" ht="39" customHeight="1" x14ac:dyDescent="0.2">
      <c r="A3" s="71" t="s">
        <v>123</v>
      </c>
      <c r="B3" s="78" t="s">
        <v>143</v>
      </c>
      <c r="C3" s="76" t="s">
        <v>23</v>
      </c>
      <c r="D3" s="76" t="s">
        <v>20</v>
      </c>
      <c r="E3" s="77" t="s">
        <v>16</v>
      </c>
    </row>
    <row r="4" spans="1:5" ht="21" thickBot="1" x14ac:dyDescent="0.25">
      <c r="A4" s="72" t="s">
        <v>128</v>
      </c>
      <c r="B4" s="40" t="s">
        <v>60</v>
      </c>
      <c r="C4" s="38" t="s">
        <v>60</v>
      </c>
      <c r="D4" s="40" t="s">
        <v>60</v>
      </c>
      <c r="E4" s="39" t="s">
        <v>60</v>
      </c>
    </row>
    <row r="5" spans="1:5" ht="17" x14ac:dyDescent="0.2">
      <c r="A5" s="71" t="s">
        <v>124</v>
      </c>
      <c r="B5" s="108">
        <v>2.5636369311577965</v>
      </c>
      <c r="C5" s="104">
        <v>2.5141584366469085</v>
      </c>
      <c r="D5" s="104">
        <v>2.9006932986092049</v>
      </c>
      <c r="E5" s="106">
        <v>2.45742087117506</v>
      </c>
    </row>
    <row r="6" spans="1:5" ht="20" x14ac:dyDescent="0.2">
      <c r="A6" s="73" t="s">
        <v>129</v>
      </c>
      <c r="B6" s="109">
        <v>2.5636369311577965</v>
      </c>
      <c r="C6" s="105">
        <v>2.5141584366469085</v>
      </c>
      <c r="D6" s="105">
        <v>2.9006932986092049</v>
      </c>
      <c r="E6" s="107">
        <v>2.45742087117506</v>
      </c>
    </row>
    <row r="7" spans="1:5" ht="17" x14ac:dyDescent="0.2">
      <c r="A7" s="73" t="s">
        <v>125</v>
      </c>
      <c r="B7" s="103">
        <v>500</v>
      </c>
      <c r="C7" s="101">
        <v>200</v>
      </c>
      <c r="D7" s="101">
        <v>1000</v>
      </c>
      <c r="E7" s="102">
        <v>500</v>
      </c>
    </row>
    <row r="8" spans="1:5" ht="20" x14ac:dyDescent="0.2">
      <c r="A8" s="73" t="s">
        <v>130</v>
      </c>
      <c r="B8" s="103"/>
      <c r="C8" s="101"/>
      <c r="D8" s="101"/>
      <c r="E8" s="102"/>
    </row>
    <row r="9" spans="1:5" ht="34" x14ac:dyDescent="0.2">
      <c r="A9" s="73" t="s">
        <v>132</v>
      </c>
      <c r="B9" s="103">
        <v>30</v>
      </c>
      <c r="C9" s="101">
        <v>30</v>
      </c>
      <c r="D9" s="101">
        <v>15</v>
      </c>
      <c r="E9" s="102">
        <v>15</v>
      </c>
    </row>
    <row r="10" spans="1:5" ht="20" x14ac:dyDescent="0.2">
      <c r="A10" s="73" t="s">
        <v>131</v>
      </c>
      <c r="B10" s="103"/>
      <c r="C10" s="101"/>
      <c r="D10" s="101"/>
      <c r="E10" s="102"/>
    </row>
    <row r="11" spans="1:5" ht="17" x14ac:dyDescent="0.2">
      <c r="A11" s="73" t="s">
        <v>126</v>
      </c>
      <c r="B11" s="103">
        <v>95</v>
      </c>
      <c r="C11" s="101">
        <v>85</v>
      </c>
      <c r="D11" s="101">
        <v>70</v>
      </c>
      <c r="E11" s="102">
        <v>60</v>
      </c>
    </row>
    <row r="12" spans="1:5" ht="17" x14ac:dyDescent="0.2">
      <c r="A12" s="73" t="s">
        <v>127</v>
      </c>
      <c r="B12" s="103"/>
      <c r="C12" s="101"/>
      <c r="D12" s="101"/>
      <c r="E12" s="102"/>
    </row>
    <row r="13" spans="1:5" ht="17" x14ac:dyDescent="0.2">
      <c r="A13" s="74" t="s">
        <v>135</v>
      </c>
      <c r="B13" s="93">
        <v>0.43720218106442998</v>
      </c>
      <c r="C13" s="95">
        <v>0.60886086670049</v>
      </c>
      <c r="D13" s="97">
        <v>2.480489672854</v>
      </c>
      <c r="E13" s="99">
        <v>2.0590000000000002</v>
      </c>
    </row>
    <row r="14" spans="1:5" ht="18" thickBot="1" x14ac:dyDescent="0.25">
      <c r="A14" s="75" t="s">
        <v>136</v>
      </c>
      <c r="B14" s="94">
        <v>0.4374021810644389</v>
      </c>
      <c r="C14" s="96">
        <v>0.60786086670049011</v>
      </c>
      <c r="D14" s="98">
        <v>2.4794151667285376</v>
      </c>
      <c r="E14" s="100">
        <v>2.06</v>
      </c>
    </row>
  </sheetData>
  <mergeCells count="21">
    <mergeCell ref="D7:D8"/>
    <mergeCell ref="D5:D6"/>
    <mergeCell ref="E5:E6"/>
    <mergeCell ref="B5:B6"/>
    <mergeCell ref="C5:C6"/>
    <mergeCell ref="B2:E2"/>
    <mergeCell ref="B13:B14"/>
    <mergeCell ref="C13:C14"/>
    <mergeCell ref="D13:D14"/>
    <mergeCell ref="E13:E14"/>
    <mergeCell ref="D11:D12"/>
    <mergeCell ref="E11:E12"/>
    <mergeCell ref="D9:D10"/>
    <mergeCell ref="E9:E10"/>
    <mergeCell ref="B11:B12"/>
    <mergeCell ref="C11:C12"/>
    <mergeCell ref="E7:E8"/>
    <mergeCell ref="B9:B10"/>
    <mergeCell ref="C9:C10"/>
    <mergeCell ref="B7:B8"/>
    <mergeCell ref="C7:C8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AC0A7-999C-4941-A895-B1FBA80B9943}">
  <dimension ref="A1:AS66"/>
  <sheetViews>
    <sheetView zoomScaleNormal="100" workbookViewId="0">
      <selection activeCell="B37" sqref="B37:B41"/>
    </sheetView>
  </sheetViews>
  <sheetFormatPr baseColWidth="10" defaultColWidth="8.83203125" defaultRowHeight="15" x14ac:dyDescent="0.2"/>
  <cols>
    <col min="1" max="1" width="8.83203125" style="1"/>
    <col min="2" max="2" width="26.83203125" style="1" customWidth="1"/>
    <col min="3" max="3" width="16.6640625" style="1" customWidth="1"/>
    <col min="4" max="4" width="14.83203125" style="1" bestFit="1" customWidth="1"/>
    <col min="5" max="5" width="12.1640625" style="1" bestFit="1" customWidth="1"/>
    <col min="6" max="6" width="24.5" style="1" customWidth="1"/>
    <col min="7" max="7" width="17" style="1" customWidth="1"/>
    <col min="8" max="8" width="16.6640625" style="1" customWidth="1"/>
    <col min="9" max="9" width="11.83203125" style="1" customWidth="1"/>
    <col min="10" max="10" width="27.83203125" style="1" customWidth="1"/>
    <col min="11" max="11" width="16" style="1" bestFit="1" customWidth="1"/>
    <col min="12" max="12" width="15.5" style="1" bestFit="1" customWidth="1"/>
    <col min="13" max="13" width="12.5" style="1" bestFit="1" customWidth="1"/>
    <col min="14" max="14" width="11.5" style="1" customWidth="1"/>
    <col min="15" max="15" width="11.33203125" style="1" bestFit="1" customWidth="1"/>
    <col min="16" max="16" width="20.5" style="1" bestFit="1" customWidth="1"/>
    <col min="17" max="17" width="25" style="1" bestFit="1" customWidth="1"/>
    <col min="18" max="18" width="29" style="1" customWidth="1"/>
    <col min="19" max="19" width="15.33203125" style="1" customWidth="1"/>
    <col min="20" max="21" width="8.83203125" style="1"/>
    <col min="22" max="22" width="11.5" style="1" customWidth="1"/>
    <col min="23" max="16384" width="8.83203125" style="1"/>
  </cols>
  <sheetData>
    <row r="1" spans="2:22" ht="21" x14ac:dyDescent="0.25">
      <c r="B1" s="37" t="s">
        <v>122</v>
      </c>
    </row>
    <row r="3" spans="2:22" ht="16" x14ac:dyDescent="0.2">
      <c r="B3" s="17" t="s">
        <v>133</v>
      </c>
      <c r="C3" s="16">
        <v>50000</v>
      </c>
      <c r="D3" s="36" t="s">
        <v>54</v>
      </c>
      <c r="F3" s="17" t="s">
        <v>121</v>
      </c>
      <c r="G3" s="16"/>
      <c r="H3" s="36"/>
      <c r="J3" s="35" t="s">
        <v>120</v>
      </c>
      <c r="K3" s="34">
        <f>G8</f>
        <v>9862418.8887728676</v>
      </c>
      <c r="L3" s="33"/>
      <c r="M3" s="32"/>
      <c r="N3" s="32"/>
      <c r="O3" s="32"/>
      <c r="P3" s="32"/>
      <c r="Q3" s="32"/>
      <c r="R3" s="31"/>
      <c r="T3" s="9"/>
      <c r="U3" s="30"/>
    </row>
    <row r="4" spans="2:22" x14ac:dyDescent="0.2">
      <c r="B4" s="13" t="s">
        <v>123</v>
      </c>
      <c r="C4" s="8" t="s">
        <v>12</v>
      </c>
      <c r="D4" s="14"/>
      <c r="F4" s="13" t="s">
        <v>119</v>
      </c>
      <c r="G4" s="23">
        <f>C20*Sheet5!C7</f>
        <v>3609173.7982744952</v>
      </c>
      <c r="H4" s="14" t="s">
        <v>99</v>
      </c>
      <c r="I4" s="9"/>
      <c r="J4" s="27" t="s">
        <v>118</v>
      </c>
      <c r="K4" s="7">
        <v>0.38900000000000001</v>
      </c>
      <c r="M4" s="15"/>
      <c r="N4" s="15"/>
      <c r="O4" s="15"/>
      <c r="P4" s="15"/>
      <c r="Q4" s="15"/>
      <c r="R4" s="28"/>
      <c r="V4" s="29"/>
    </row>
    <row r="5" spans="2:22" x14ac:dyDescent="0.2">
      <c r="B5" s="13" t="s">
        <v>135</v>
      </c>
      <c r="C5" s="79">
        <f>HLOOKUP(C4,Sheet4!A3:E14,11,FALSE)</f>
        <v>0.48445329316546298</v>
      </c>
      <c r="D5" s="14" t="s">
        <v>4</v>
      </c>
      <c r="F5" s="13" t="s">
        <v>117</v>
      </c>
      <c r="G5" s="23">
        <f>G4/0.61*0.39</f>
        <v>2307504.5595525461</v>
      </c>
      <c r="H5" s="14" t="s">
        <v>99</v>
      </c>
      <c r="I5" s="9"/>
      <c r="J5" s="27" t="s">
        <v>116</v>
      </c>
      <c r="K5" s="7">
        <v>0.1</v>
      </c>
      <c r="M5" s="15"/>
      <c r="N5" s="15"/>
      <c r="O5" s="15"/>
      <c r="P5" s="15"/>
      <c r="Q5" s="15"/>
      <c r="R5" s="28"/>
    </row>
    <row r="6" spans="2:22" x14ac:dyDescent="0.2">
      <c r="B6" s="13" t="s">
        <v>134</v>
      </c>
      <c r="C6" s="8" t="str">
        <f>VLOOKUP(C4,Sheet5!F3:M6,8,FALSE)</f>
        <v>Gas</v>
      </c>
      <c r="D6" s="14"/>
      <c r="F6" s="13" t="s">
        <v>115</v>
      </c>
      <c r="G6" s="23">
        <f>Sheet5!C19*(C34/Sheet5!C20)^Sheet5!C18</f>
        <v>0</v>
      </c>
      <c r="H6" s="14" t="s">
        <v>99</v>
      </c>
      <c r="J6" s="27"/>
      <c r="K6" s="15"/>
      <c r="L6" s="15"/>
      <c r="M6" s="15"/>
      <c r="N6" s="15"/>
      <c r="O6" s="15"/>
      <c r="P6" s="15"/>
      <c r="Q6" s="15"/>
      <c r="R6" s="28"/>
      <c r="V6" s="6"/>
    </row>
    <row r="7" spans="2:22" x14ac:dyDescent="0.2">
      <c r="B7" s="13" t="s">
        <v>114</v>
      </c>
      <c r="C7" s="8">
        <v>350</v>
      </c>
      <c r="D7" s="14" t="s">
        <v>113</v>
      </c>
      <c r="F7" s="13" t="s">
        <v>112</v>
      </c>
      <c r="G7" s="23">
        <f>Sheet5!C14*(C30/Sheet5!C15)^Sheet5!C13</f>
        <v>3945740.5309458259</v>
      </c>
      <c r="H7" s="14" t="s">
        <v>99</v>
      </c>
      <c r="J7" s="27" t="s">
        <v>111</v>
      </c>
      <c r="K7" s="15" t="s">
        <v>110</v>
      </c>
      <c r="L7" s="15" t="s">
        <v>109</v>
      </c>
      <c r="M7" s="15" t="s">
        <v>108</v>
      </c>
      <c r="N7" s="15" t="s">
        <v>107</v>
      </c>
      <c r="O7" s="15" t="s">
        <v>106</v>
      </c>
      <c r="P7" s="22" t="s">
        <v>105</v>
      </c>
      <c r="Q7" s="22" t="s">
        <v>104</v>
      </c>
      <c r="R7" s="21" t="s">
        <v>103</v>
      </c>
    </row>
    <row r="8" spans="2:22" x14ac:dyDescent="0.2">
      <c r="B8" s="13" t="s">
        <v>102</v>
      </c>
      <c r="C8" s="8">
        <v>20</v>
      </c>
      <c r="D8" s="14" t="s">
        <v>101</v>
      </c>
      <c r="F8" s="13" t="s">
        <v>100</v>
      </c>
      <c r="G8" s="23">
        <f>SUM(G4:G7)</f>
        <v>9862418.8887728676</v>
      </c>
      <c r="H8" s="14" t="s">
        <v>99</v>
      </c>
      <c r="J8" s="13">
        <v>0</v>
      </c>
      <c r="K8" s="15">
        <f>-K3</f>
        <v>-9862418.8887728676</v>
      </c>
      <c r="L8" s="15">
        <f>0.05*K8</f>
        <v>-493120.9444386434</v>
      </c>
      <c r="M8" s="15"/>
      <c r="N8" s="15"/>
      <c r="O8" s="15"/>
      <c r="P8" s="22">
        <f>K8+L8</f>
        <v>-10355539.833211511</v>
      </c>
      <c r="Q8" s="22">
        <f t="shared" ref="Q8:Q28" si="0">P8*1/(1+$K$5)^ABS((--J8))</f>
        <v>-10355539.833211511</v>
      </c>
      <c r="R8" s="21">
        <f>Q8</f>
        <v>-10355539.833211511</v>
      </c>
    </row>
    <row r="9" spans="2:22" x14ac:dyDescent="0.2">
      <c r="B9" s="13" t="s">
        <v>98</v>
      </c>
      <c r="C9" s="8">
        <v>0.03</v>
      </c>
      <c r="D9" s="14" t="s">
        <v>97</v>
      </c>
      <c r="F9" s="13"/>
      <c r="G9" s="8"/>
      <c r="H9" s="14"/>
      <c r="J9" s="13">
        <v>1</v>
      </c>
      <c r="K9" s="15"/>
      <c r="L9" s="15"/>
      <c r="M9" s="15">
        <f>$K$8*Sheet5!I15/100</f>
        <v>-986241.88887728681</v>
      </c>
      <c r="N9" s="15">
        <f t="shared" ref="N9:N28" si="1">$G$23</f>
        <v>1438392.1545118361</v>
      </c>
      <c r="O9" s="15">
        <f t="shared" ref="O9:O28" si="2">(N9+M9)*(1-$K$4)</f>
        <v>276263.81230270962</v>
      </c>
      <c r="P9" s="22">
        <f t="shared" ref="P9:P27" si="3">O9-M9</f>
        <v>1262505.7011799964</v>
      </c>
      <c r="Q9" s="22">
        <f t="shared" si="0"/>
        <v>1147732.4556181785</v>
      </c>
      <c r="R9" s="21">
        <f t="shared" ref="R9:R28" si="4">Q9+R8</f>
        <v>-9207807.3775933329</v>
      </c>
    </row>
    <row r="10" spans="2:22" x14ac:dyDescent="0.2">
      <c r="B10" s="13"/>
      <c r="C10" s="8"/>
      <c r="D10" s="14"/>
      <c r="F10" s="13" t="s">
        <v>96</v>
      </c>
      <c r="G10" s="23"/>
      <c r="H10" s="14"/>
      <c r="J10" s="13">
        <v>2</v>
      </c>
      <c r="K10" s="15"/>
      <c r="L10" s="15"/>
      <c r="M10" s="15">
        <f>$K$8*Sheet5!I16/100</f>
        <v>-1775235.3999791164</v>
      </c>
      <c r="N10" s="15">
        <f t="shared" si="1"/>
        <v>1438392.1545118361</v>
      </c>
      <c r="O10" s="15">
        <f t="shared" si="2"/>
        <v>-205811.22298050823</v>
      </c>
      <c r="P10" s="22">
        <f t="shared" si="3"/>
        <v>1569424.1769986083</v>
      </c>
      <c r="Q10" s="22">
        <f t="shared" si="0"/>
        <v>1297044.774379015</v>
      </c>
      <c r="R10" s="21">
        <f t="shared" si="4"/>
        <v>-7910762.6032143179</v>
      </c>
    </row>
    <row r="11" spans="2:22" x14ac:dyDescent="0.2">
      <c r="B11" s="13" t="s">
        <v>95</v>
      </c>
      <c r="C11" s="8"/>
      <c r="D11" s="14"/>
      <c r="F11" s="13" t="s">
        <v>94</v>
      </c>
      <c r="G11" s="23">
        <f>C9*C21*1000*24</f>
        <v>13119.671798680127</v>
      </c>
      <c r="H11" s="14" t="s">
        <v>73</v>
      </c>
      <c r="J11" s="13">
        <v>3</v>
      </c>
      <c r="K11" s="15"/>
      <c r="L11" s="15"/>
      <c r="M11" s="15">
        <f>$K$8*Sheet5!I17/100</f>
        <v>-1420188.3199832931</v>
      </c>
      <c r="N11" s="15">
        <f t="shared" si="1"/>
        <v>1438392.1545118361</v>
      </c>
      <c r="O11" s="15">
        <f t="shared" si="2"/>
        <v>11122.542896939807</v>
      </c>
      <c r="P11" s="22">
        <f t="shared" si="3"/>
        <v>1431310.862880233</v>
      </c>
      <c r="Q11" s="22">
        <f t="shared" si="0"/>
        <v>1075365.0359731275</v>
      </c>
      <c r="R11" s="21">
        <f t="shared" si="4"/>
        <v>-6835397.56724119</v>
      </c>
    </row>
    <row r="12" spans="2:22" x14ac:dyDescent="0.2">
      <c r="B12" s="13" t="s">
        <v>93</v>
      </c>
      <c r="C12" s="8">
        <f>HLOOKUP(C4,Sheet4!A3:E12,5,FALSE)*0.001</f>
        <v>0.5</v>
      </c>
      <c r="D12" s="14" t="s">
        <v>92</v>
      </c>
      <c r="F12" s="13" t="s">
        <v>146</v>
      </c>
      <c r="G12" s="23">
        <f>G4*0.025/C7</f>
        <v>257.79812844817826</v>
      </c>
      <c r="H12" s="14" t="s">
        <v>73</v>
      </c>
      <c r="J12" s="13">
        <v>4</v>
      </c>
      <c r="K12" s="15"/>
      <c r="L12" s="15"/>
      <c r="M12" s="15">
        <f>$K$8*Sheet5!I18/100</f>
        <v>-1136150.6559866343</v>
      </c>
      <c r="N12" s="15">
        <f t="shared" si="1"/>
        <v>1438392.1545118361</v>
      </c>
      <c r="O12" s="15">
        <f t="shared" si="2"/>
        <v>184669.5555988983</v>
      </c>
      <c r="P12" s="22">
        <f t="shared" si="3"/>
        <v>1320820.2115855326</v>
      </c>
      <c r="Q12" s="22">
        <f t="shared" si="0"/>
        <v>902137.97663105815</v>
      </c>
      <c r="R12" s="21">
        <f t="shared" si="4"/>
        <v>-5933259.5906101316</v>
      </c>
    </row>
    <row r="13" spans="2:22" x14ac:dyDescent="0.2">
      <c r="B13" s="13" t="s">
        <v>90</v>
      </c>
      <c r="C13" s="2">
        <f>HLOOKUP(C4,Sheet4!A3:E12,3,FALSE)</f>
        <v>4.3419131271428162</v>
      </c>
      <c r="D13" s="14" t="s">
        <v>19</v>
      </c>
      <c r="F13" s="13" t="s">
        <v>91</v>
      </c>
      <c r="G13" s="23">
        <f>(C34/Sheet5!C20)*Sheet5!C21</f>
        <v>0</v>
      </c>
      <c r="H13" s="14" t="s">
        <v>73</v>
      </c>
      <c r="J13" s="13">
        <v>5</v>
      </c>
      <c r="K13" s="15"/>
      <c r="L13" s="15"/>
      <c r="M13" s="15">
        <f>$K$8*Sheet5!I19/100</f>
        <v>-909315.02154485846</v>
      </c>
      <c r="N13" s="15">
        <f t="shared" si="1"/>
        <v>1438392.1545118361</v>
      </c>
      <c r="O13" s="15">
        <f t="shared" si="2"/>
        <v>323266.12824282335</v>
      </c>
      <c r="P13" s="22">
        <f t="shared" si="3"/>
        <v>1232581.1497876819</v>
      </c>
      <c r="Q13" s="22">
        <f t="shared" si="0"/>
        <v>765335.91830394184</v>
      </c>
      <c r="R13" s="21">
        <f t="shared" si="4"/>
        <v>-5167923.6723061893</v>
      </c>
    </row>
    <row r="14" spans="2:22" x14ac:dyDescent="0.2">
      <c r="B14" s="13" t="s">
        <v>88</v>
      </c>
      <c r="C14" s="8">
        <f>HLOOKUP(C4,Sheet4!A3:E12,9,FALSE)</f>
        <v>95</v>
      </c>
      <c r="D14" s="14" t="s">
        <v>84</v>
      </c>
      <c r="F14" s="13" t="s">
        <v>89</v>
      </c>
      <c r="G14" s="2">
        <f>C30*Sheet5!C16*C9*24</f>
        <v>478.90585795435152</v>
      </c>
      <c r="H14" s="14" t="s">
        <v>73</v>
      </c>
      <c r="J14" s="13">
        <v>6</v>
      </c>
      <c r="K14" s="15"/>
      <c r="L14" s="15"/>
      <c r="M14" s="15">
        <f>$K$8*Sheet5!I20/100</f>
        <v>-726860.27210256038</v>
      </c>
      <c r="N14" s="15">
        <f t="shared" si="1"/>
        <v>1438392.1545118361</v>
      </c>
      <c r="O14" s="15">
        <f t="shared" si="2"/>
        <v>434745.9801520675</v>
      </c>
      <c r="P14" s="22">
        <f t="shared" si="3"/>
        <v>1161606.2522546279</v>
      </c>
      <c r="Q14" s="22">
        <f t="shared" si="0"/>
        <v>655696.4463852091</v>
      </c>
      <c r="R14" s="21">
        <f t="shared" si="4"/>
        <v>-4512227.2259209799</v>
      </c>
    </row>
    <row r="15" spans="2:22" x14ac:dyDescent="0.2">
      <c r="B15" s="13" t="s">
        <v>87</v>
      </c>
      <c r="C15" s="8">
        <f>HLOOKUP(C4,Sheet4!A3:E12,7,FALSE)</f>
        <v>70</v>
      </c>
      <c r="D15" s="14" t="s">
        <v>84</v>
      </c>
      <c r="F15" s="13" t="s">
        <v>86</v>
      </c>
      <c r="G15" s="23">
        <f>C22/1000*Sheet5!C2</f>
        <v>3307.0895732727031</v>
      </c>
      <c r="H15" s="14" t="s">
        <v>73</v>
      </c>
      <c r="J15" s="13">
        <v>7</v>
      </c>
      <c r="K15" s="15"/>
      <c r="L15" s="15"/>
      <c r="M15" s="15">
        <f>$K$8*Sheet5!I21/100</f>
        <v>-645988.43721462274</v>
      </c>
      <c r="N15" s="15">
        <f t="shared" si="1"/>
        <v>1438392.1545118361</v>
      </c>
      <c r="O15" s="15">
        <f t="shared" si="2"/>
        <v>484158.67126859736</v>
      </c>
      <c r="P15" s="22">
        <f t="shared" si="3"/>
        <v>1130147.10848322</v>
      </c>
      <c r="Q15" s="22">
        <f t="shared" si="0"/>
        <v>579944.16351312317</v>
      </c>
      <c r="R15" s="21">
        <f t="shared" si="4"/>
        <v>-3932283.0624078568</v>
      </c>
    </row>
    <row r="16" spans="2:22" x14ac:dyDescent="0.2">
      <c r="B16" s="13"/>
      <c r="D16" s="14"/>
      <c r="E16" s="1" t="s">
        <v>42</v>
      </c>
      <c r="F16" s="13" t="s">
        <v>83</v>
      </c>
      <c r="G16" s="23">
        <f>C35*Sheet5!C23</f>
        <v>24.126947142937674</v>
      </c>
      <c r="H16" s="14" t="s">
        <v>73</v>
      </c>
      <c r="J16" s="13">
        <v>8</v>
      </c>
      <c r="K16" s="15"/>
      <c r="L16" s="15"/>
      <c r="M16" s="15">
        <f>$K$8*Sheet5!I22/100</f>
        <v>-645988.43721462274</v>
      </c>
      <c r="N16" s="15">
        <f t="shared" si="1"/>
        <v>1438392.1545118361</v>
      </c>
      <c r="O16" s="15">
        <f t="shared" si="2"/>
        <v>484158.67126859736</v>
      </c>
      <c r="P16" s="22">
        <f t="shared" si="3"/>
        <v>1130147.10848322</v>
      </c>
      <c r="Q16" s="22">
        <f t="shared" si="0"/>
        <v>527221.96683011204</v>
      </c>
      <c r="R16" s="21">
        <f t="shared" si="4"/>
        <v>-3405061.0955777448</v>
      </c>
      <c r="V16" s="26"/>
    </row>
    <row r="17" spans="1:19" x14ac:dyDescent="0.2">
      <c r="B17" s="13" t="s">
        <v>82</v>
      </c>
      <c r="C17" s="8"/>
      <c r="D17" s="14"/>
      <c r="F17" s="13" t="s">
        <v>28</v>
      </c>
      <c r="G17" s="2">
        <f>(G4*Sheet5!C9/100)/365/7</f>
        <v>211.88887269713277</v>
      </c>
      <c r="H17" s="14" t="s">
        <v>73</v>
      </c>
      <c r="J17" s="13">
        <v>9</v>
      </c>
      <c r="K17" s="15"/>
      <c r="L17" s="15"/>
      <c r="M17" s="15">
        <f>$K$8*Sheet5!I23/100</f>
        <v>-646974.67910350009</v>
      </c>
      <c r="N17" s="15">
        <f t="shared" si="1"/>
        <v>1438392.1545118361</v>
      </c>
      <c r="O17" s="15">
        <f t="shared" si="2"/>
        <v>483556.0774744933</v>
      </c>
      <c r="P17" s="22">
        <f t="shared" si="3"/>
        <v>1130530.7565779933</v>
      </c>
      <c r="Q17" s="22">
        <f t="shared" si="0"/>
        <v>479455.40136157017</v>
      </c>
      <c r="R17" s="21">
        <f t="shared" si="4"/>
        <v>-2925605.6942161745</v>
      </c>
    </row>
    <row r="18" spans="1:19" x14ac:dyDescent="0.2">
      <c r="B18" s="13" t="s">
        <v>81</v>
      </c>
      <c r="C18" s="2">
        <f>VLOOKUP(C4,Sheet5!F3:M6,3,FALSE)</f>
        <v>2</v>
      </c>
      <c r="D18" s="14"/>
      <c r="F18" s="13" t="s">
        <v>29</v>
      </c>
      <c r="G18" s="2">
        <f>Sheet5!C10*C20/365</f>
        <v>2713.4916100439018</v>
      </c>
      <c r="H18" s="14" t="s">
        <v>73</v>
      </c>
      <c r="J18" s="13">
        <v>10</v>
      </c>
      <c r="K18" s="15"/>
      <c r="L18" s="15"/>
      <c r="M18" s="15">
        <f>$K$8*Sheet5!I24/100</f>
        <v>-645988.43721462274</v>
      </c>
      <c r="N18" s="15">
        <f t="shared" si="1"/>
        <v>1438392.1545118361</v>
      </c>
      <c r="O18" s="15">
        <f t="shared" si="2"/>
        <v>484158.67126859736</v>
      </c>
      <c r="P18" s="22">
        <f t="shared" si="3"/>
        <v>1130147.10848322</v>
      </c>
      <c r="Q18" s="22">
        <f t="shared" si="0"/>
        <v>435720.63374389417</v>
      </c>
      <c r="R18" s="21">
        <f t="shared" si="4"/>
        <v>-2489885.0604722803</v>
      </c>
    </row>
    <row r="19" spans="1:19" x14ac:dyDescent="0.2">
      <c r="B19" s="13" t="s">
        <v>80</v>
      </c>
      <c r="C19" s="2">
        <f>C3/24/3600*1000/VLOOKUP(C4,Sheet5!F3:N9,6,FALSE)*C18*96485/(C14/100)</f>
        <v>4196713.7189238314</v>
      </c>
      <c r="D19" s="14" t="s">
        <v>79</v>
      </c>
      <c r="F19" s="13"/>
      <c r="H19" s="14"/>
      <c r="J19" s="13">
        <v>11</v>
      </c>
      <c r="K19" s="15"/>
      <c r="L19" s="15"/>
      <c r="M19" s="15">
        <f>$K$8*Sheet5!I25/100</f>
        <v>-323487.33955175005</v>
      </c>
      <c r="N19" s="15">
        <f t="shared" si="1"/>
        <v>1438392.1545118361</v>
      </c>
      <c r="O19" s="15">
        <f t="shared" si="2"/>
        <v>681206.84194061253</v>
      </c>
      <c r="P19" s="22">
        <f t="shared" si="3"/>
        <v>1004694.1814923626</v>
      </c>
      <c r="Q19" s="22">
        <f t="shared" si="0"/>
        <v>352139.18145752378</v>
      </c>
      <c r="R19" s="21">
        <f t="shared" si="4"/>
        <v>-2137745.8790147565</v>
      </c>
    </row>
    <row r="20" spans="1:19" x14ac:dyDescent="0.2">
      <c r="B20" s="13" t="s">
        <v>77</v>
      </c>
      <c r="C20" s="2">
        <f>C19/C12/10^4</f>
        <v>839.3427437847663</v>
      </c>
      <c r="D20" s="14" t="s">
        <v>76</v>
      </c>
      <c r="F20" s="13" t="s">
        <v>78</v>
      </c>
      <c r="G20" s="23">
        <f>SUM(G11:G18)</f>
        <v>20112.972788239331</v>
      </c>
      <c r="H20" s="14" t="s">
        <v>73</v>
      </c>
      <c r="J20" s="13">
        <v>12</v>
      </c>
      <c r="K20" s="15"/>
      <c r="L20" s="15"/>
      <c r="M20" s="15"/>
      <c r="N20" s="15">
        <f t="shared" si="1"/>
        <v>1438392.1545118361</v>
      </c>
      <c r="O20" s="15">
        <f t="shared" si="2"/>
        <v>878857.60640673188</v>
      </c>
      <c r="P20" s="22">
        <f t="shared" si="3"/>
        <v>878857.60640673188</v>
      </c>
      <c r="Q20" s="22">
        <f t="shared" si="0"/>
        <v>280031.11778034369</v>
      </c>
      <c r="R20" s="21">
        <f t="shared" si="4"/>
        <v>-1857714.7612344129</v>
      </c>
    </row>
    <row r="21" spans="1:19" x14ac:dyDescent="0.2">
      <c r="B21" s="13" t="s">
        <v>75</v>
      </c>
      <c r="C21" s="2">
        <f>C19*C13/10^6</f>
        <v>18.22176638705573</v>
      </c>
      <c r="D21" s="14" t="s">
        <v>8</v>
      </c>
      <c r="F21" s="13"/>
      <c r="H21" s="14"/>
      <c r="J21" s="13">
        <v>13</v>
      </c>
      <c r="K21" s="15"/>
      <c r="L21" s="15"/>
      <c r="M21" s="15"/>
      <c r="N21" s="15">
        <f t="shared" si="1"/>
        <v>1438392.1545118361</v>
      </c>
      <c r="O21" s="15">
        <f t="shared" si="2"/>
        <v>878857.60640673188</v>
      </c>
      <c r="P21" s="22">
        <f t="shared" si="3"/>
        <v>878857.60640673188</v>
      </c>
      <c r="Q21" s="22">
        <f t="shared" si="0"/>
        <v>254573.74343667607</v>
      </c>
      <c r="R21" s="21">
        <f t="shared" si="4"/>
        <v>-1603141.0177977369</v>
      </c>
    </row>
    <row r="22" spans="1:19" x14ac:dyDescent="0.2">
      <c r="B22" s="13" t="s">
        <v>72</v>
      </c>
      <c r="C22" s="2">
        <f>C19/96485/VLOOKUP(C4,Sheet5!F3:N9,4,FALSE)*44/1000*3600*24</f>
        <v>82677.239331817575</v>
      </c>
      <c r="D22" s="14" t="s">
        <v>54</v>
      </c>
      <c r="F22" s="13" t="s">
        <v>74</v>
      </c>
      <c r="G22" s="23">
        <f>C3*C5</f>
        <v>24222.664658273148</v>
      </c>
      <c r="H22" s="14" t="s">
        <v>73</v>
      </c>
      <c r="J22" s="13">
        <v>14</v>
      </c>
      <c r="K22" s="15"/>
      <c r="L22" s="15"/>
      <c r="M22" s="15"/>
      <c r="N22" s="15">
        <f t="shared" si="1"/>
        <v>1438392.1545118361</v>
      </c>
      <c r="O22" s="15">
        <f t="shared" si="2"/>
        <v>878857.60640673188</v>
      </c>
      <c r="P22" s="22">
        <f t="shared" si="3"/>
        <v>878857.60640673188</v>
      </c>
      <c r="Q22" s="22">
        <f t="shared" si="0"/>
        <v>231430.67585152364</v>
      </c>
      <c r="R22" s="21">
        <f t="shared" si="4"/>
        <v>-1371710.3419462133</v>
      </c>
    </row>
    <row r="23" spans="1:19" x14ac:dyDescent="0.2">
      <c r="B23" s="13" t="s">
        <v>69</v>
      </c>
      <c r="C23" s="2">
        <f>C22/(C15/100)</f>
        <v>118110.34190259654</v>
      </c>
      <c r="D23" s="14" t="s">
        <v>54</v>
      </c>
      <c r="F23" s="13" t="s">
        <v>71</v>
      </c>
      <c r="G23" s="23">
        <f>(G22-G20)*C7</f>
        <v>1438392.1545118361</v>
      </c>
      <c r="H23" s="14" t="s">
        <v>70</v>
      </c>
      <c r="J23" s="13">
        <v>15</v>
      </c>
      <c r="K23" s="15"/>
      <c r="L23" s="15"/>
      <c r="M23" s="15"/>
      <c r="N23" s="15">
        <f t="shared" si="1"/>
        <v>1438392.1545118361</v>
      </c>
      <c r="O23" s="15">
        <f t="shared" si="2"/>
        <v>878857.60640673188</v>
      </c>
      <c r="P23" s="22">
        <f t="shared" si="3"/>
        <v>878857.60640673188</v>
      </c>
      <c r="Q23" s="22">
        <f t="shared" si="0"/>
        <v>210391.52350138512</v>
      </c>
      <c r="R23" s="21">
        <f t="shared" si="4"/>
        <v>-1161318.818444828</v>
      </c>
    </row>
    <row r="24" spans="1:19" x14ac:dyDescent="0.2">
      <c r="B24" s="13"/>
      <c r="D24" s="14"/>
      <c r="F24" s="13"/>
      <c r="G24" s="23"/>
      <c r="H24" s="14"/>
      <c r="J24" s="13">
        <v>16</v>
      </c>
      <c r="K24" s="15"/>
      <c r="L24" s="15"/>
      <c r="M24" s="15"/>
      <c r="N24" s="15">
        <f t="shared" si="1"/>
        <v>1438392.1545118361</v>
      </c>
      <c r="O24" s="15">
        <f t="shared" si="2"/>
        <v>878857.60640673188</v>
      </c>
      <c r="P24" s="22">
        <f t="shared" si="3"/>
        <v>878857.60640673188</v>
      </c>
      <c r="Q24" s="22">
        <f t="shared" si="0"/>
        <v>191265.02136489557</v>
      </c>
      <c r="R24" s="21">
        <f t="shared" si="4"/>
        <v>-970053.79707993241</v>
      </c>
    </row>
    <row r="25" spans="1:19" x14ac:dyDescent="0.2">
      <c r="B25" s="13" t="s">
        <v>55</v>
      </c>
      <c r="C25" s="2">
        <f>C23-C22</f>
        <v>35433.102570778967</v>
      </c>
      <c r="D25" s="14" t="s">
        <v>54</v>
      </c>
      <c r="F25" s="12" t="s">
        <v>68</v>
      </c>
      <c r="G25" s="25">
        <f>G8/G23</f>
        <v>6.8565577598829375</v>
      </c>
      <c r="H25" s="24" t="s">
        <v>67</v>
      </c>
      <c r="J25" s="13">
        <v>17</v>
      </c>
      <c r="K25" s="15"/>
      <c r="L25" s="15"/>
      <c r="M25" s="15"/>
      <c r="N25" s="15">
        <f t="shared" si="1"/>
        <v>1438392.1545118361</v>
      </c>
      <c r="O25" s="15">
        <f t="shared" si="2"/>
        <v>878857.60640673188</v>
      </c>
      <c r="P25" s="22">
        <f t="shared" si="3"/>
        <v>878857.60640673188</v>
      </c>
      <c r="Q25" s="22">
        <f t="shared" si="0"/>
        <v>173877.29214990506</v>
      </c>
      <c r="R25" s="21">
        <f t="shared" si="4"/>
        <v>-796176.50493002729</v>
      </c>
    </row>
    <row r="26" spans="1:19" x14ac:dyDescent="0.2">
      <c r="B26" s="13"/>
      <c r="C26" s="2">
        <f>C25/1.98/24</f>
        <v>745.64609786992776</v>
      </c>
      <c r="D26" s="14" t="s">
        <v>39</v>
      </c>
      <c r="G26" s="23"/>
      <c r="J26" s="13">
        <v>18</v>
      </c>
      <c r="K26" s="15"/>
      <c r="L26" s="15"/>
      <c r="M26" s="15"/>
      <c r="N26" s="15">
        <f t="shared" si="1"/>
        <v>1438392.1545118361</v>
      </c>
      <c r="O26" s="15">
        <f t="shared" si="2"/>
        <v>878857.60640673188</v>
      </c>
      <c r="P26" s="22">
        <f t="shared" si="3"/>
        <v>878857.60640673188</v>
      </c>
      <c r="Q26" s="22">
        <f t="shared" si="0"/>
        <v>158070.26559082276</v>
      </c>
      <c r="R26" s="21">
        <f t="shared" si="4"/>
        <v>-638106.23933920451</v>
      </c>
    </row>
    <row r="27" spans="1:19" x14ac:dyDescent="0.2">
      <c r="A27" s="69" t="s">
        <v>66</v>
      </c>
      <c r="B27" s="13" t="s">
        <v>65</v>
      </c>
      <c r="C27" s="2">
        <f>IF(C6="Liq",0,C3/VLOOKUP(C4,Sheet5!F3:M6,7,FALSE)/24)</f>
        <v>1827.4853801169593</v>
      </c>
      <c r="D27" s="14" t="s">
        <v>39</v>
      </c>
      <c r="J27" s="13">
        <v>19</v>
      </c>
      <c r="K27" s="15"/>
      <c r="L27" s="15"/>
      <c r="M27" s="15"/>
      <c r="N27" s="15">
        <f t="shared" si="1"/>
        <v>1438392.1545118361</v>
      </c>
      <c r="O27" s="15">
        <f t="shared" si="2"/>
        <v>878857.60640673188</v>
      </c>
      <c r="P27" s="22">
        <f t="shared" si="3"/>
        <v>878857.60640673188</v>
      </c>
      <c r="Q27" s="22">
        <f t="shared" si="0"/>
        <v>143700.24144620248</v>
      </c>
      <c r="R27" s="21">
        <f t="shared" si="4"/>
        <v>-494405.997893002</v>
      </c>
      <c r="S27" s="15"/>
    </row>
    <row r="28" spans="1:19" x14ac:dyDescent="0.2">
      <c r="B28" s="13" t="s">
        <v>63</v>
      </c>
      <c r="C28" s="2">
        <f>C19*(100-C14)/100/2/96485</f>
        <v>1.0874005593936442</v>
      </c>
      <c r="D28" s="14" t="s">
        <v>62</v>
      </c>
      <c r="J28" s="12">
        <v>20</v>
      </c>
      <c r="K28" s="20"/>
      <c r="L28" s="20">
        <f>-L8+0.2*ABS(K8)</f>
        <v>2465604.7221932169</v>
      </c>
      <c r="M28" s="20"/>
      <c r="N28" s="20">
        <f t="shared" si="1"/>
        <v>1438392.1545118361</v>
      </c>
      <c r="O28" s="15">
        <f t="shared" si="2"/>
        <v>878857.60640673188</v>
      </c>
      <c r="P28" s="19">
        <f>O28+M28+L28</f>
        <v>3344462.3285999489</v>
      </c>
      <c r="Q28" s="19">
        <f t="shared" si="0"/>
        <v>497133.01431317156</v>
      </c>
      <c r="R28" s="41">
        <f t="shared" si="4"/>
        <v>2727.0164201695588</v>
      </c>
    </row>
    <row r="29" spans="1:19" x14ac:dyDescent="0.2">
      <c r="B29" s="13"/>
      <c r="C29" s="2">
        <f>C28*2.008/1000/0.08988*3600</f>
        <v>87.456621759510185</v>
      </c>
      <c r="D29" s="14" t="s">
        <v>39</v>
      </c>
      <c r="I29" s="8"/>
      <c r="Q29" s="1" t="s">
        <v>64</v>
      </c>
      <c r="R29" s="18">
        <f>R28/10^6</f>
        <v>2.7270164201695589E-3</v>
      </c>
      <c r="S29" s="7"/>
    </row>
    <row r="30" spans="1:19" x14ac:dyDescent="0.2">
      <c r="B30" s="13" t="s">
        <v>61</v>
      </c>
      <c r="C30" s="2">
        <f>SUM(C26,C27,C29)</f>
        <v>2660.5880997463973</v>
      </c>
      <c r="D30" s="14" t="s">
        <v>39</v>
      </c>
    </row>
    <row r="31" spans="1:19" x14ac:dyDescent="0.2">
      <c r="B31" s="13"/>
      <c r="D31" s="14"/>
      <c r="H31" s="9"/>
      <c r="J31" s="15"/>
    </row>
    <row r="32" spans="1:19" x14ac:dyDescent="0.2">
      <c r="B32" s="13" t="s">
        <v>59</v>
      </c>
      <c r="C32" s="2">
        <f>IF(C6="Gas",0,C3/VLOOKUP(C4,Sheet5!F3:M6,7,FALSE)/24)</f>
        <v>0</v>
      </c>
      <c r="D32" s="14" t="s">
        <v>39</v>
      </c>
      <c r="H32" s="8"/>
      <c r="I32" s="8"/>
      <c r="J32" s="8"/>
      <c r="K32" s="8"/>
    </row>
    <row r="33" spans="2:45" x14ac:dyDescent="0.2">
      <c r="B33" s="13"/>
      <c r="C33" s="2">
        <f>C32*1000/60</f>
        <v>0</v>
      </c>
      <c r="D33" s="14" t="s">
        <v>46</v>
      </c>
      <c r="H33" s="8"/>
      <c r="K33" s="7"/>
    </row>
    <row r="34" spans="2:45" x14ac:dyDescent="0.2">
      <c r="B34" s="13" t="s">
        <v>58</v>
      </c>
      <c r="C34" s="2">
        <f>C33/0.1</f>
        <v>0</v>
      </c>
      <c r="D34" s="14" t="s">
        <v>46</v>
      </c>
      <c r="H34" s="8"/>
      <c r="I34" s="9"/>
      <c r="K34" s="7"/>
    </row>
    <row r="35" spans="2:45" x14ac:dyDescent="0.2">
      <c r="B35" s="12" t="s">
        <v>53</v>
      </c>
      <c r="C35" s="80">
        <f>C19/4/96485*18/1000*24*3600*0.2642</f>
        <v>4467.9531746180874</v>
      </c>
      <c r="D35" s="24" t="s">
        <v>52</v>
      </c>
      <c r="H35" s="8"/>
      <c r="K35" s="7"/>
    </row>
    <row r="36" spans="2:45" x14ac:dyDescent="0.2">
      <c r="H36" s="8"/>
      <c r="K36" s="7"/>
    </row>
    <row r="37" spans="2:45" ht="21" x14ac:dyDescent="0.25">
      <c r="B37" s="10"/>
      <c r="G37" s="8"/>
      <c r="H37" s="8"/>
      <c r="K37" s="7"/>
    </row>
    <row r="38" spans="2:45" ht="21" x14ac:dyDescent="0.25">
      <c r="B38" s="10"/>
      <c r="K38" s="7"/>
    </row>
    <row r="39" spans="2:45" ht="21" x14ac:dyDescent="0.25">
      <c r="B39" s="10"/>
      <c r="L39" s="8"/>
      <c r="M39" s="8"/>
      <c r="P39" s="7"/>
    </row>
    <row r="40" spans="2:45" x14ac:dyDescent="0.2">
      <c r="L40" s="8"/>
      <c r="M40" s="8"/>
      <c r="N40" s="7"/>
      <c r="P40" s="7"/>
    </row>
    <row r="41" spans="2:45" x14ac:dyDescent="0.2">
      <c r="B41" s="8"/>
      <c r="C41" s="2"/>
      <c r="D41" s="2"/>
      <c r="F41" s="9"/>
      <c r="G41" s="8"/>
      <c r="H41" s="8"/>
      <c r="L41" s="8"/>
      <c r="O41" s="3"/>
      <c r="P41" s="3"/>
    </row>
    <row r="42" spans="2:45" x14ac:dyDescent="0.2">
      <c r="F42" s="8"/>
      <c r="J42" s="9"/>
      <c r="K42" s="9"/>
      <c r="L42" s="8"/>
      <c r="M42" s="8"/>
      <c r="N42" s="8"/>
      <c r="O42" s="3"/>
      <c r="R42" s="3"/>
    </row>
    <row r="43" spans="2:45" x14ac:dyDescent="0.2">
      <c r="F43" s="8"/>
      <c r="G43" s="9"/>
      <c r="K43" s="8"/>
      <c r="M43" s="11"/>
      <c r="O43" s="3"/>
      <c r="P43" s="9"/>
      <c r="Q43" s="8"/>
      <c r="R43" s="8"/>
      <c r="S43" s="8"/>
    </row>
    <row r="44" spans="2:45" x14ac:dyDescent="0.2">
      <c r="B44" s="3"/>
      <c r="C44" s="2"/>
      <c r="D44" s="2"/>
      <c r="F44" s="8"/>
      <c r="J44" s="3"/>
      <c r="K44" s="8"/>
      <c r="O44" s="3"/>
      <c r="P44" s="8"/>
      <c r="Q44" s="9"/>
      <c r="S44" s="7"/>
      <c r="X44" s="7"/>
    </row>
    <row r="45" spans="2:45" x14ac:dyDescent="0.2">
      <c r="B45" s="2"/>
      <c r="C45" s="2"/>
      <c r="D45" s="2"/>
      <c r="F45" s="8"/>
      <c r="J45" s="2"/>
      <c r="K45" s="8"/>
      <c r="O45" s="2"/>
      <c r="P45" s="8"/>
      <c r="S45" s="7"/>
      <c r="X45" s="3"/>
      <c r="Y45" s="9"/>
      <c r="Z45" s="9"/>
      <c r="AA45" s="9"/>
      <c r="AC45" s="9"/>
      <c r="AE45" s="9"/>
      <c r="AG45" s="9"/>
      <c r="AI45" s="9"/>
      <c r="AK45" s="9"/>
      <c r="AM45" s="9"/>
      <c r="AO45" s="9"/>
      <c r="AQ45" s="9"/>
      <c r="AS45" s="9"/>
    </row>
    <row r="46" spans="2:45" x14ac:dyDescent="0.2">
      <c r="B46" s="2"/>
      <c r="C46" s="2"/>
      <c r="D46" s="2"/>
      <c r="F46" s="8"/>
      <c r="J46" s="2"/>
      <c r="K46" s="8"/>
      <c r="O46" s="2"/>
      <c r="P46" s="8"/>
      <c r="S46" s="7"/>
      <c r="T46" s="2"/>
      <c r="Z46" s="6"/>
    </row>
    <row r="47" spans="2:45" x14ac:dyDescent="0.2">
      <c r="B47" s="2"/>
      <c r="C47" s="2"/>
      <c r="D47" s="2"/>
      <c r="F47" s="8"/>
      <c r="J47" s="2"/>
      <c r="K47" s="8"/>
      <c r="O47" s="2"/>
      <c r="P47" s="8"/>
      <c r="S47" s="7"/>
      <c r="T47" s="2"/>
      <c r="Z47" s="6"/>
    </row>
    <row r="48" spans="2:45" x14ac:dyDescent="0.2">
      <c r="B48" s="2"/>
      <c r="C48" s="2"/>
      <c r="D48" s="2"/>
      <c r="F48" s="8"/>
      <c r="J48" s="2"/>
      <c r="K48" s="8"/>
      <c r="O48" s="2"/>
      <c r="P48" s="8"/>
      <c r="S48" s="7"/>
      <c r="T48" s="2"/>
      <c r="Z48" s="6"/>
      <c r="AC48" s="9"/>
      <c r="AD48" s="9"/>
      <c r="AE48" s="9"/>
      <c r="AF48" s="9"/>
      <c r="AG48" s="9"/>
      <c r="AH48" s="9"/>
    </row>
    <row r="49" spans="2:26" x14ac:dyDescent="0.2">
      <c r="B49" s="2"/>
      <c r="C49" s="2"/>
      <c r="D49" s="2"/>
      <c r="F49" s="8"/>
      <c r="J49" s="9"/>
      <c r="K49" s="8"/>
      <c r="O49" s="3"/>
      <c r="P49" s="8"/>
      <c r="S49" s="7"/>
      <c r="T49" s="2"/>
      <c r="Y49" s="9"/>
      <c r="Z49" s="6"/>
    </row>
    <row r="50" spans="2:26" x14ac:dyDescent="0.2">
      <c r="B50" s="2"/>
      <c r="C50" s="2"/>
      <c r="D50" s="2"/>
      <c r="F50" s="2"/>
      <c r="G50" s="2"/>
      <c r="H50" s="3"/>
      <c r="J50" s="2"/>
      <c r="K50" s="8"/>
      <c r="O50" s="2"/>
      <c r="P50" s="8"/>
      <c r="S50" s="7"/>
      <c r="T50" s="2"/>
      <c r="Y50" s="9"/>
      <c r="Z50" s="6"/>
    </row>
    <row r="51" spans="2:26" x14ac:dyDescent="0.2">
      <c r="B51" s="3"/>
      <c r="C51" s="2"/>
      <c r="D51" s="2"/>
      <c r="E51" s="2"/>
      <c r="G51" s="2"/>
      <c r="H51" s="2"/>
      <c r="I51" s="3"/>
      <c r="J51" s="2"/>
      <c r="K51" s="2"/>
      <c r="L51" s="2"/>
      <c r="M51" s="2"/>
      <c r="N51" s="2"/>
      <c r="O51" s="2"/>
      <c r="P51" s="8"/>
      <c r="S51" s="7"/>
      <c r="T51" s="2"/>
      <c r="Z51" s="6"/>
    </row>
    <row r="52" spans="2:26" x14ac:dyDescent="0.2">
      <c r="B52" s="2"/>
      <c r="C52" s="2"/>
      <c r="D52" s="2"/>
      <c r="E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Z52" s="6"/>
    </row>
    <row r="53" spans="2:26" x14ac:dyDescent="0.2">
      <c r="B53" s="2"/>
      <c r="C53" s="2"/>
      <c r="D53" s="2"/>
      <c r="E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Z53" s="6"/>
    </row>
    <row r="54" spans="2:26" x14ac:dyDescent="0.2">
      <c r="B54" s="2"/>
      <c r="C54" s="2"/>
      <c r="D54" s="2"/>
      <c r="E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2:26" x14ac:dyDescent="0.2">
      <c r="B55" s="2"/>
      <c r="C55" s="2"/>
      <c r="D55" s="2"/>
      <c r="E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2:26" x14ac:dyDescent="0.2">
      <c r="B56" s="2"/>
      <c r="C56" s="2"/>
      <c r="D56" s="2"/>
      <c r="E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2:26" ht="16" x14ac:dyDescent="0.2">
      <c r="B57" s="2"/>
      <c r="C57" s="2"/>
      <c r="D57" s="2"/>
      <c r="E57" s="2"/>
      <c r="F57" s="5"/>
      <c r="G57" s="2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2:26" x14ac:dyDescent="0.2">
      <c r="B58" s="2"/>
      <c r="C58" s="2"/>
      <c r="D58" s="2"/>
      <c r="E58" s="2"/>
      <c r="F58" s="2"/>
      <c r="G58" s="2"/>
      <c r="H58" s="2"/>
      <c r="I58" s="3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2:26" x14ac:dyDescent="0.2">
      <c r="E59" s="2"/>
      <c r="F59" s="2"/>
      <c r="G59" s="2"/>
      <c r="H59" s="2"/>
      <c r="I59" s="3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2:26" x14ac:dyDescent="0.2">
      <c r="E60" s="2"/>
      <c r="F60" s="2"/>
      <c r="G60" s="2"/>
      <c r="H60" s="2"/>
      <c r="I60" s="3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2:26" ht="16" x14ac:dyDescent="0.2">
      <c r="E61" s="2"/>
      <c r="F61" s="2"/>
      <c r="G61" s="2"/>
      <c r="H61" s="2"/>
      <c r="I61" s="3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4"/>
    </row>
    <row r="62" spans="2:26" ht="16" x14ac:dyDescent="0.2">
      <c r="E62" s="2"/>
      <c r="F62" s="2"/>
      <c r="G62" s="2"/>
      <c r="H62" s="2"/>
      <c r="I62" s="3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4"/>
    </row>
    <row r="63" spans="2:26" ht="16" x14ac:dyDescent="0.2">
      <c r="E63" s="2"/>
      <c r="F63" s="2"/>
      <c r="G63" s="2"/>
      <c r="H63" s="2"/>
      <c r="I63" s="3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4"/>
    </row>
    <row r="64" spans="2:26" ht="16" x14ac:dyDescent="0.2">
      <c r="E64" s="2"/>
      <c r="F64" s="2"/>
      <c r="G64" s="2"/>
      <c r="H64" s="2"/>
      <c r="I64" s="3"/>
      <c r="O64" s="2"/>
      <c r="U64" s="4"/>
    </row>
    <row r="65" spans="5:21" ht="16" x14ac:dyDescent="0.2">
      <c r="E65" s="2"/>
      <c r="I65" s="3"/>
      <c r="O65" s="2"/>
      <c r="U65" s="4"/>
    </row>
    <row r="66" spans="5:21" x14ac:dyDescent="0.2">
      <c r="I66" s="3"/>
      <c r="O66" s="2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2CD51-3702-B041-A521-F6816947C0A3}">
  <dimension ref="A1:E14"/>
  <sheetViews>
    <sheetView workbookViewId="0">
      <selection activeCell="B13" sqref="B13:E14"/>
    </sheetView>
  </sheetViews>
  <sheetFormatPr baseColWidth="10" defaultRowHeight="16" x14ac:dyDescent="0.2"/>
  <cols>
    <col min="1" max="1" width="14.33203125" customWidth="1"/>
    <col min="3" max="3" width="12.83203125" customWidth="1"/>
  </cols>
  <sheetData>
    <row r="1" spans="1:5" ht="17" thickBot="1" x14ac:dyDescent="0.25"/>
    <row r="2" spans="1:5" ht="18" thickBot="1" x14ac:dyDescent="0.25">
      <c r="A2" s="82" t="s">
        <v>137</v>
      </c>
      <c r="B2" s="91" t="s">
        <v>148</v>
      </c>
      <c r="C2" s="91"/>
      <c r="D2" s="91"/>
      <c r="E2" s="92"/>
    </row>
    <row r="3" spans="1:5" ht="39" customHeight="1" x14ac:dyDescent="0.2">
      <c r="A3" s="71" t="s">
        <v>123</v>
      </c>
      <c r="B3" s="78" t="s">
        <v>12</v>
      </c>
      <c r="C3" s="76" t="s">
        <v>23</v>
      </c>
      <c r="D3" s="76" t="s">
        <v>20</v>
      </c>
      <c r="E3" s="77" t="s">
        <v>16</v>
      </c>
    </row>
    <row r="4" spans="1:5" ht="21" thickBot="1" x14ac:dyDescent="0.25">
      <c r="A4" s="72" t="s">
        <v>128</v>
      </c>
      <c r="B4" s="40" t="s">
        <v>60</v>
      </c>
      <c r="C4" s="38" t="s">
        <v>60</v>
      </c>
      <c r="D4" s="40" t="s">
        <v>60</v>
      </c>
      <c r="E4" s="39" t="s">
        <v>60</v>
      </c>
    </row>
    <row r="5" spans="1:5" ht="17" x14ac:dyDescent="0.2">
      <c r="A5" s="71" t="s">
        <v>124</v>
      </c>
      <c r="B5" s="110">
        <v>4.3419131271428162</v>
      </c>
      <c r="C5" s="112">
        <v>3.267634121585413</v>
      </c>
      <c r="D5" s="112">
        <v>5.934327616388142</v>
      </c>
      <c r="E5" s="114">
        <v>4.2994351792825425</v>
      </c>
    </row>
    <row r="6" spans="1:5" ht="20" x14ac:dyDescent="0.2">
      <c r="A6" s="73" t="s">
        <v>129</v>
      </c>
      <c r="B6" s="111">
        <v>4.3419131271428162</v>
      </c>
      <c r="C6" s="113">
        <v>3.267634121585413</v>
      </c>
      <c r="D6" s="113">
        <v>5.934327616388142</v>
      </c>
      <c r="E6" s="115">
        <v>4.2994351792825425</v>
      </c>
    </row>
    <row r="7" spans="1:5" ht="17" x14ac:dyDescent="0.2">
      <c r="A7" s="73" t="s">
        <v>125</v>
      </c>
      <c r="B7" s="103">
        <v>500</v>
      </c>
      <c r="C7" s="101">
        <v>200</v>
      </c>
      <c r="D7" s="101">
        <v>1000</v>
      </c>
      <c r="E7" s="102">
        <v>500</v>
      </c>
    </row>
    <row r="8" spans="1:5" ht="20" x14ac:dyDescent="0.2">
      <c r="A8" s="73" t="s">
        <v>130</v>
      </c>
      <c r="B8" s="103"/>
      <c r="C8" s="101"/>
      <c r="D8" s="101"/>
      <c r="E8" s="102"/>
    </row>
    <row r="9" spans="1:5" ht="34" x14ac:dyDescent="0.2">
      <c r="A9" s="73" t="s">
        <v>132</v>
      </c>
      <c r="B9" s="103">
        <v>70</v>
      </c>
      <c r="C9" s="101">
        <v>70</v>
      </c>
      <c r="D9" s="101">
        <v>50</v>
      </c>
      <c r="E9" s="102">
        <v>50</v>
      </c>
    </row>
    <row r="10" spans="1:5" ht="20" x14ac:dyDescent="0.2">
      <c r="A10" s="73" t="s">
        <v>131</v>
      </c>
      <c r="B10" s="103"/>
      <c r="C10" s="101"/>
      <c r="D10" s="101"/>
      <c r="E10" s="102"/>
    </row>
    <row r="11" spans="1:5" ht="17" x14ac:dyDescent="0.2">
      <c r="A11" s="73" t="s">
        <v>126</v>
      </c>
      <c r="B11" s="103">
        <v>95</v>
      </c>
      <c r="C11" s="101">
        <v>85</v>
      </c>
      <c r="D11" s="101">
        <v>70</v>
      </c>
      <c r="E11" s="102">
        <v>60</v>
      </c>
    </row>
    <row r="12" spans="1:5" ht="17" x14ac:dyDescent="0.2">
      <c r="A12" s="73" t="s">
        <v>127</v>
      </c>
      <c r="B12" s="103"/>
      <c r="C12" s="101"/>
      <c r="D12" s="101"/>
      <c r="E12" s="102"/>
    </row>
    <row r="13" spans="1:5" ht="17" x14ac:dyDescent="0.2">
      <c r="A13" s="73" t="s">
        <v>147</v>
      </c>
      <c r="B13" s="116">
        <v>0.48445329316546298</v>
      </c>
      <c r="C13" s="95">
        <v>0.59294337421935495</v>
      </c>
      <c r="D13" s="95">
        <v>3.68453887982088</v>
      </c>
      <c r="E13" s="118">
        <v>2.4842093660483502</v>
      </c>
    </row>
    <row r="14" spans="1:5" ht="18" thickBot="1" x14ac:dyDescent="0.25">
      <c r="A14" s="81" t="s">
        <v>136</v>
      </c>
      <c r="B14" s="117">
        <v>0.48465329316546263</v>
      </c>
      <c r="C14" s="96">
        <v>0.59264337421935465</v>
      </c>
      <c r="D14" s="96">
        <v>3.6834388798208764</v>
      </c>
      <c r="E14" s="119">
        <v>2.483309366048347</v>
      </c>
    </row>
  </sheetData>
  <mergeCells count="21">
    <mergeCell ref="B13:B14"/>
    <mergeCell ref="C13:C14"/>
    <mergeCell ref="D13:D14"/>
    <mergeCell ref="E13:E14"/>
    <mergeCell ref="B9:B10"/>
    <mergeCell ref="C9:C10"/>
    <mergeCell ref="D9:D10"/>
    <mergeCell ref="E9:E10"/>
    <mergeCell ref="B11:B12"/>
    <mergeCell ref="C11:C12"/>
    <mergeCell ref="D11:D12"/>
    <mergeCell ref="E11:E12"/>
    <mergeCell ref="B7:B8"/>
    <mergeCell ref="C7:C8"/>
    <mergeCell ref="D7:D8"/>
    <mergeCell ref="E7:E8"/>
    <mergeCell ref="B2:E2"/>
    <mergeCell ref="B5:B6"/>
    <mergeCell ref="C5:C6"/>
    <mergeCell ref="D5:D6"/>
    <mergeCell ref="E5:E6"/>
  </mergeCell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37483-7A8F-4C46-9D2E-4FD6D8A72E6A}">
  <sheetPr codeName="Sheet2"/>
  <dimension ref="A1:N25"/>
  <sheetViews>
    <sheetView zoomScale="116" zoomScaleNormal="141" workbookViewId="0">
      <selection activeCell="E24" sqref="E24"/>
    </sheetView>
  </sheetViews>
  <sheetFormatPr baseColWidth="10" defaultRowHeight="16" x14ac:dyDescent="0.2"/>
  <cols>
    <col min="1" max="1" width="39.33203125" customWidth="1"/>
    <col min="2" max="2" width="5.83203125" customWidth="1"/>
    <col min="4" max="4" width="15.83203125" customWidth="1"/>
    <col min="6" max="6" width="16.5" customWidth="1"/>
    <col min="7" max="7" width="13.5" customWidth="1"/>
    <col min="12" max="12" width="16.5" customWidth="1"/>
    <col min="14" max="14" width="15.1640625" customWidth="1"/>
  </cols>
  <sheetData>
    <row r="1" spans="1:14" x14ac:dyDescent="0.2">
      <c r="A1" s="84" t="s">
        <v>0</v>
      </c>
      <c r="B1" s="52"/>
      <c r="C1" s="89" t="s">
        <v>158</v>
      </c>
      <c r="D1" s="90" t="s">
        <v>159</v>
      </c>
      <c r="F1" s="61">
        <v>1</v>
      </c>
      <c r="G1" s="62">
        <v>2</v>
      </c>
      <c r="H1" s="62">
        <v>3</v>
      </c>
      <c r="I1" s="62">
        <v>4</v>
      </c>
      <c r="J1" s="62">
        <v>5</v>
      </c>
      <c r="K1" s="62">
        <v>6</v>
      </c>
      <c r="L1" s="62">
        <v>7</v>
      </c>
      <c r="M1" s="62">
        <v>8</v>
      </c>
      <c r="N1" s="63">
        <v>9</v>
      </c>
    </row>
    <row r="2" spans="1:14" x14ac:dyDescent="0.2">
      <c r="A2" s="54" t="s">
        <v>1</v>
      </c>
      <c r="B2" s="85"/>
      <c r="C2" s="85">
        <v>40</v>
      </c>
      <c r="D2" s="86" t="s">
        <v>2</v>
      </c>
      <c r="F2" s="64" t="s">
        <v>3</v>
      </c>
      <c r="G2" s="60" t="s">
        <v>4</v>
      </c>
      <c r="H2" s="60" t="s">
        <v>5</v>
      </c>
      <c r="I2" s="60" t="s">
        <v>6</v>
      </c>
      <c r="J2" s="60" t="s">
        <v>7</v>
      </c>
      <c r="K2" s="60" t="s">
        <v>8</v>
      </c>
      <c r="L2" s="60" t="s">
        <v>9</v>
      </c>
      <c r="M2" s="60" t="s">
        <v>10</v>
      </c>
      <c r="N2" s="65" t="s">
        <v>11</v>
      </c>
    </row>
    <row r="3" spans="1:14" x14ac:dyDescent="0.2">
      <c r="A3" s="54"/>
      <c r="B3" s="85"/>
      <c r="C3" s="85"/>
      <c r="D3" s="86"/>
      <c r="F3" s="64" t="s">
        <v>12</v>
      </c>
      <c r="G3" s="60">
        <v>0.6</v>
      </c>
      <c r="H3" s="60">
        <v>2</v>
      </c>
      <c r="I3" s="60">
        <v>2</v>
      </c>
      <c r="J3" s="60">
        <v>1</v>
      </c>
      <c r="K3" s="60">
        <v>28.01</v>
      </c>
      <c r="L3" s="60">
        <v>1.1399999999999999</v>
      </c>
      <c r="M3" s="60" t="s">
        <v>13</v>
      </c>
      <c r="N3" s="65">
        <v>0.5</v>
      </c>
    </row>
    <row r="4" spans="1:14" x14ac:dyDescent="0.2">
      <c r="A4" s="54" t="s">
        <v>14</v>
      </c>
      <c r="B4" s="85"/>
      <c r="C4" s="85">
        <v>550</v>
      </c>
      <c r="D4" s="86" t="s">
        <v>15</v>
      </c>
      <c r="F4" s="64" t="s">
        <v>16</v>
      </c>
      <c r="G4" s="60">
        <f>(0.706+1.3)/2</f>
        <v>1.0030000000000001</v>
      </c>
      <c r="H4" s="60">
        <v>12</v>
      </c>
      <c r="I4" s="60">
        <v>6</v>
      </c>
      <c r="J4" s="60">
        <f>H4/I4</f>
        <v>2</v>
      </c>
      <c r="K4" s="60">
        <v>46.06</v>
      </c>
      <c r="L4" s="60">
        <v>789</v>
      </c>
      <c r="M4" s="60" t="s">
        <v>17</v>
      </c>
      <c r="N4" s="65">
        <v>3</v>
      </c>
    </row>
    <row r="5" spans="1:14" x14ac:dyDescent="0.2">
      <c r="A5" s="54" t="s">
        <v>18</v>
      </c>
      <c r="B5" s="85"/>
      <c r="C5" s="85">
        <v>1.75</v>
      </c>
      <c r="D5" s="86" t="s">
        <v>19</v>
      </c>
      <c r="F5" s="64" t="s">
        <v>20</v>
      </c>
      <c r="G5" s="60">
        <f>(1.01+1.59)/2</f>
        <v>1.3</v>
      </c>
      <c r="H5" s="60">
        <v>12</v>
      </c>
      <c r="I5" s="60">
        <v>6</v>
      </c>
      <c r="J5" s="60">
        <f>H5/I5</f>
        <v>2</v>
      </c>
      <c r="K5" s="60">
        <v>28.05</v>
      </c>
      <c r="L5" s="60">
        <v>1.18</v>
      </c>
      <c r="M5" s="60" t="s">
        <v>13</v>
      </c>
      <c r="N5" s="65">
        <v>3</v>
      </c>
    </row>
    <row r="6" spans="1:14" ht="17" thickBot="1" x14ac:dyDescent="0.25">
      <c r="A6" s="54" t="s">
        <v>21</v>
      </c>
      <c r="B6" s="85"/>
      <c r="C6" s="85">
        <v>400</v>
      </c>
      <c r="D6" s="86" t="s">
        <v>22</v>
      </c>
      <c r="F6" s="66" t="s">
        <v>23</v>
      </c>
      <c r="G6" s="67">
        <f>(0.7+0.77)/2</f>
        <v>0.73499999999999999</v>
      </c>
      <c r="H6" s="67">
        <v>2</v>
      </c>
      <c r="I6" s="67">
        <v>2</v>
      </c>
      <c r="J6" s="67">
        <f t="shared" ref="J6" si="0">H6/I6</f>
        <v>1</v>
      </c>
      <c r="K6" s="67">
        <v>46.024999999999999</v>
      </c>
      <c r="L6" s="67">
        <v>1221</v>
      </c>
      <c r="M6" s="67" t="s">
        <v>17</v>
      </c>
      <c r="N6" s="68">
        <v>0.5</v>
      </c>
    </row>
    <row r="7" spans="1:14" x14ac:dyDescent="0.2">
      <c r="A7" s="54" t="s">
        <v>24</v>
      </c>
      <c r="B7" s="85">
        <f>C5*C6/1000/1000*10^4*C4*1.12</f>
        <v>4312</v>
      </c>
      <c r="C7" s="85">
        <v>4300</v>
      </c>
      <c r="D7" s="86" t="s">
        <v>25</v>
      </c>
    </row>
    <row r="8" spans="1:14" ht="17" thickBot="1" x14ac:dyDescent="0.25">
      <c r="A8" s="54" t="s">
        <v>26</v>
      </c>
      <c r="B8" s="85"/>
      <c r="C8" s="85">
        <v>2.5</v>
      </c>
      <c r="D8" s="86" t="s">
        <v>27</v>
      </c>
    </row>
    <row r="9" spans="1:14" x14ac:dyDescent="0.2">
      <c r="A9" s="54" t="s">
        <v>28</v>
      </c>
      <c r="B9" s="85"/>
      <c r="C9" s="85">
        <v>15</v>
      </c>
      <c r="D9" s="86" t="s">
        <v>27</v>
      </c>
      <c r="F9" s="51" t="s">
        <v>31</v>
      </c>
      <c r="G9" s="52" t="s">
        <v>32</v>
      </c>
      <c r="H9" s="53" t="s">
        <v>33</v>
      </c>
    </row>
    <row r="10" spans="1:14" x14ac:dyDescent="0.2">
      <c r="A10" s="54" t="s">
        <v>29</v>
      </c>
      <c r="B10" s="85"/>
      <c r="C10" s="85">
        <v>1180</v>
      </c>
      <c r="D10" s="86" t="s">
        <v>30</v>
      </c>
      <c r="F10" s="54" t="s">
        <v>16</v>
      </c>
      <c r="G10" s="55">
        <v>4162240</v>
      </c>
      <c r="H10" s="56">
        <v>3463310</v>
      </c>
    </row>
    <row r="11" spans="1:14" ht="17" thickBot="1" x14ac:dyDescent="0.25">
      <c r="A11" s="54"/>
      <c r="B11" s="85"/>
      <c r="C11" s="85"/>
      <c r="D11" s="86"/>
      <c r="F11" s="57" t="s">
        <v>37</v>
      </c>
      <c r="G11" s="58">
        <v>6896190</v>
      </c>
      <c r="H11" s="59">
        <v>11213200</v>
      </c>
    </row>
    <row r="12" spans="1:14" ht="17" thickBot="1" x14ac:dyDescent="0.25">
      <c r="A12" s="54"/>
      <c r="B12" s="85"/>
      <c r="C12" s="85"/>
      <c r="D12" s="86"/>
    </row>
    <row r="13" spans="1:14" x14ac:dyDescent="0.2">
      <c r="A13" s="54" t="s">
        <v>34</v>
      </c>
      <c r="B13" s="85"/>
      <c r="C13" s="85">
        <v>0.7</v>
      </c>
      <c r="D13" s="86"/>
      <c r="F13" s="84" t="s">
        <v>138</v>
      </c>
      <c r="G13" s="89"/>
      <c r="H13" s="89" t="s">
        <v>139</v>
      </c>
      <c r="I13" s="53"/>
    </row>
    <row r="14" spans="1:14" x14ac:dyDescent="0.2">
      <c r="A14" s="54" t="s">
        <v>35</v>
      </c>
      <c r="B14" s="85"/>
      <c r="C14" s="85">
        <v>1989043</v>
      </c>
      <c r="D14" s="86" t="s">
        <v>36</v>
      </c>
      <c r="F14" s="54" t="s">
        <v>111</v>
      </c>
      <c r="G14" s="85" t="s">
        <v>140</v>
      </c>
      <c r="H14" s="85" t="s">
        <v>111</v>
      </c>
      <c r="I14" s="86" t="s">
        <v>140</v>
      </c>
    </row>
    <row r="15" spans="1:14" x14ac:dyDescent="0.2">
      <c r="A15" s="54" t="s">
        <v>38</v>
      </c>
      <c r="B15" s="85"/>
      <c r="C15" s="85">
        <v>1000</v>
      </c>
      <c r="D15" s="86" t="s">
        <v>39</v>
      </c>
      <c r="F15" s="54">
        <v>1</v>
      </c>
      <c r="G15" s="85">
        <v>20</v>
      </c>
      <c r="H15" s="85">
        <v>1</v>
      </c>
      <c r="I15" s="86">
        <v>10</v>
      </c>
    </row>
    <row r="16" spans="1:14" x14ac:dyDescent="0.2">
      <c r="A16" s="54" t="s">
        <v>40</v>
      </c>
      <c r="B16" s="85"/>
      <c r="C16" s="85">
        <v>0.25</v>
      </c>
      <c r="D16" s="86" t="s">
        <v>41</v>
      </c>
      <c r="F16" s="54">
        <v>2</v>
      </c>
      <c r="G16" s="85">
        <v>32</v>
      </c>
      <c r="H16" s="85">
        <v>2</v>
      </c>
      <c r="I16" s="86">
        <v>18</v>
      </c>
    </row>
    <row r="17" spans="1:9" x14ac:dyDescent="0.2">
      <c r="A17" s="54"/>
      <c r="B17" s="85"/>
      <c r="C17" s="85"/>
      <c r="D17" s="86"/>
      <c r="F17" s="54">
        <v>3</v>
      </c>
      <c r="G17" s="85">
        <v>19.2</v>
      </c>
      <c r="H17" s="85">
        <v>3</v>
      </c>
      <c r="I17" s="86">
        <v>14.4</v>
      </c>
    </row>
    <row r="18" spans="1:9" x14ac:dyDescent="0.2">
      <c r="A18" s="54" t="s">
        <v>43</v>
      </c>
      <c r="B18" s="85"/>
      <c r="C18" s="85">
        <v>0.7</v>
      </c>
      <c r="D18" s="86"/>
      <c r="F18" s="54">
        <v>4</v>
      </c>
      <c r="G18" s="85">
        <v>11.52</v>
      </c>
      <c r="H18" s="85">
        <v>4</v>
      </c>
      <c r="I18" s="86">
        <v>11.52</v>
      </c>
    </row>
    <row r="19" spans="1:9" x14ac:dyDescent="0.2">
      <c r="A19" s="54" t="s">
        <v>44</v>
      </c>
      <c r="B19" s="85"/>
      <c r="C19" s="85">
        <f>IF(Sheet1!C6="Liq",VLOOKUP(Sheet1!C4,F10:H11,2,FALSE),0)</f>
        <v>0</v>
      </c>
      <c r="D19" s="86" t="s">
        <v>36</v>
      </c>
      <c r="F19" s="54">
        <v>5</v>
      </c>
      <c r="G19" s="85">
        <v>11.52</v>
      </c>
      <c r="H19" s="85">
        <v>5</v>
      </c>
      <c r="I19" s="86">
        <v>9.2200000000000006</v>
      </c>
    </row>
    <row r="20" spans="1:9" x14ac:dyDescent="0.2">
      <c r="A20" s="54" t="s">
        <v>45</v>
      </c>
      <c r="B20" s="85"/>
      <c r="C20" s="85">
        <v>1000</v>
      </c>
      <c r="D20" s="86" t="s">
        <v>46</v>
      </c>
      <c r="F20" s="54">
        <v>6</v>
      </c>
      <c r="G20" s="85">
        <v>5.76</v>
      </c>
      <c r="H20" s="85">
        <v>6</v>
      </c>
      <c r="I20" s="86">
        <v>7.37</v>
      </c>
    </row>
    <row r="21" spans="1:9" x14ac:dyDescent="0.2">
      <c r="A21" s="54" t="s">
        <v>47</v>
      </c>
      <c r="B21" s="85"/>
      <c r="C21" s="85">
        <f>IF(Sheet1!C6="Liq",VLOOKUP(Sheet1!C4,F10:H11,3,FALSE),0)/Sheet1!C7</f>
        <v>0</v>
      </c>
      <c r="D21" s="86" t="s">
        <v>48</v>
      </c>
      <c r="F21" s="54"/>
      <c r="G21" s="85"/>
      <c r="H21" s="85">
        <v>7</v>
      </c>
      <c r="I21" s="86">
        <v>6.55</v>
      </c>
    </row>
    <row r="22" spans="1:9" x14ac:dyDescent="0.2">
      <c r="A22" s="54"/>
      <c r="B22" s="85"/>
      <c r="C22" s="85"/>
      <c r="D22" s="86"/>
      <c r="F22" s="54"/>
      <c r="G22" s="85"/>
      <c r="H22" s="85">
        <v>8</v>
      </c>
      <c r="I22" s="86">
        <v>6.55</v>
      </c>
    </row>
    <row r="23" spans="1:9" ht="17" thickBot="1" x14ac:dyDescent="0.25">
      <c r="A23" s="57" t="s">
        <v>49</v>
      </c>
      <c r="B23" s="87"/>
      <c r="C23" s="87">
        <v>5.4000000000000003E-3</v>
      </c>
      <c r="D23" s="88" t="s">
        <v>50</v>
      </c>
      <c r="F23" s="54"/>
      <c r="G23" s="85"/>
      <c r="H23" s="85">
        <v>9</v>
      </c>
      <c r="I23" s="86">
        <v>6.56</v>
      </c>
    </row>
    <row r="24" spans="1:9" x14ac:dyDescent="0.2">
      <c r="F24" s="54"/>
      <c r="G24" s="85"/>
      <c r="H24" s="85">
        <v>10</v>
      </c>
      <c r="I24" s="86">
        <v>6.55</v>
      </c>
    </row>
    <row r="25" spans="1:9" ht="17" thickBot="1" x14ac:dyDescent="0.25">
      <c r="F25" s="57"/>
      <c r="G25" s="87"/>
      <c r="H25" s="87">
        <v>11</v>
      </c>
      <c r="I25" s="88">
        <v>3.28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Legends</vt:lpstr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2020-08-17T16:57:43Z</dcterms:created>
  <dcterms:modified xsi:type="dcterms:W3CDTF">2021-05-10T22:22:01Z</dcterms:modified>
</cp:coreProperties>
</file>