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uham\Desktop\"/>
    </mc:Choice>
  </mc:AlternateContent>
  <bookViews>
    <workbookView xWindow="0" yWindow="0" windowWidth="20490" windowHeight="777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62913"/>
</workbook>
</file>

<file path=xl/calcChain.xml><?xml version="1.0" encoding="utf-8"?>
<calcChain xmlns="http://schemas.openxmlformats.org/spreadsheetml/2006/main">
  <c r="J110" i="5" l="1"/>
  <c r="O106" i="5"/>
  <c r="I106" i="5"/>
  <c r="P105" i="5"/>
  <c r="M105" i="5"/>
  <c r="L105" i="5"/>
  <c r="J105" i="5"/>
  <c r="K105" i="5" s="1"/>
  <c r="N104" i="5"/>
  <c r="M104" i="5"/>
  <c r="J104" i="5"/>
  <c r="P103" i="5"/>
  <c r="L103" i="5"/>
  <c r="K103" i="5"/>
  <c r="J103" i="5"/>
  <c r="N103" i="5" s="1"/>
  <c r="P102" i="5"/>
  <c r="N102" i="5"/>
  <c r="M102" i="5"/>
  <c r="J102" i="5"/>
  <c r="P101" i="5"/>
  <c r="L101" i="5"/>
  <c r="K101" i="5"/>
  <c r="J101" i="5"/>
  <c r="N101" i="5" s="1"/>
  <c r="P100" i="5"/>
  <c r="N100" i="5"/>
  <c r="M100" i="5"/>
  <c r="J100" i="5"/>
  <c r="P99" i="5"/>
  <c r="L99" i="5"/>
  <c r="K99" i="5"/>
  <c r="J99" i="5"/>
  <c r="N99" i="5" s="1"/>
  <c r="P98" i="5"/>
  <c r="N98" i="5"/>
  <c r="M98" i="5"/>
  <c r="J98" i="5"/>
  <c r="P97" i="5"/>
  <c r="L97" i="5"/>
  <c r="K97" i="5"/>
  <c r="J97" i="5"/>
  <c r="N97" i="5" s="1"/>
  <c r="P96" i="5"/>
  <c r="N96" i="5"/>
  <c r="M96" i="5"/>
  <c r="J96" i="5"/>
  <c r="P95" i="5"/>
  <c r="L95" i="5"/>
  <c r="K95" i="5"/>
  <c r="J95" i="5"/>
  <c r="N95" i="5" s="1"/>
  <c r="P94" i="5"/>
  <c r="N94" i="5"/>
  <c r="M94" i="5"/>
  <c r="J94" i="5"/>
  <c r="P93" i="5"/>
  <c r="L93" i="5"/>
  <c r="K93" i="5"/>
  <c r="J93" i="5"/>
  <c r="N93" i="5" s="1"/>
  <c r="P92" i="5"/>
  <c r="N92" i="5"/>
  <c r="M92" i="5"/>
  <c r="J92" i="5"/>
  <c r="P91" i="5"/>
  <c r="L91" i="5"/>
  <c r="K91" i="5"/>
  <c r="J91" i="5"/>
  <c r="N91" i="5" s="1"/>
  <c r="P90" i="5"/>
  <c r="N90" i="5"/>
  <c r="M90" i="5"/>
  <c r="J90" i="5"/>
  <c r="P89" i="5"/>
  <c r="L89" i="5"/>
  <c r="K89" i="5"/>
  <c r="J89" i="5"/>
  <c r="N89" i="5" s="1"/>
  <c r="M88" i="5"/>
  <c r="L88" i="5"/>
  <c r="K88" i="5"/>
  <c r="J88" i="5"/>
  <c r="N88" i="5" s="1"/>
  <c r="P87" i="5"/>
  <c r="N87" i="5"/>
  <c r="K87" i="5"/>
  <c r="J87" i="5"/>
  <c r="P86" i="5"/>
  <c r="P106" i="5" s="1"/>
  <c r="R106" i="5" s="1"/>
  <c r="M86" i="5"/>
  <c r="L86" i="5"/>
  <c r="J86" i="5"/>
  <c r="K86" i="5" s="1"/>
  <c r="F80" i="5"/>
  <c r="E80" i="5"/>
  <c r="D80" i="5"/>
  <c r="C80" i="5"/>
  <c r="H80" i="5" s="1"/>
  <c r="J79" i="5"/>
  <c r="I79" i="5"/>
  <c r="H79" i="5"/>
  <c r="F79" i="5"/>
  <c r="E79" i="5"/>
  <c r="D79" i="5"/>
  <c r="C79" i="5"/>
  <c r="G79" i="5" s="1"/>
  <c r="J78" i="5"/>
  <c r="I78" i="5"/>
  <c r="H78" i="5"/>
  <c r="E78" i="5"/>
  <c r="F78" i="5" s="1"/>
  <c r="D78" i="5"/>
  <c r="C78" i="5"/>
  <c r="G78" i="5" s="1"/>
  <c r="I77" i="5"/>
  <c r="J77" i="5" s="1"/>
  <c r="H77" i="5"/>
  <c r="F77" i="5"/>
  <c r="E77" i="5"/>
  <c r="D77" i="5"/>
  <c r="C77" i="5"/>
  <c r="G77" i="5" s="1"/>
  <c r="H76" i="5"/>
  <c r="F76" i="5"/>
  <c r="E76" i="5"/>
  <c r="D76" i="5"/>
  <c r="C76" i="5"/>
  <c r="G76" i="5" s="1"/>
  <c r="I76" i="5" s="1"/>
  <c r="J76" i="5" s="1"/>
  <c r="J75" i="5"/>
  <c r="I75" i="5"/>
  <c r="H75" i="5"/>
  <c r="F75" i="5"/>
  <c r="E75" i="5"/>
  <c r="D75" i="5"/>
  <c r="C75" i="5"/>
  <c r="G75" i="5" s="1"/>
  <c r="J74" i="5"/>
  <c r="I74" i="5"/>
  <c r="H74" i="5"/>
  <c r="E74" i="5"/>
  <c r="F74" i="5" s="1"/>
  <c r="D74" i="5"/>
  <c r="C74" i="5"/>
  <c r="G74" i="5" s="1"/>
  <c r="E69" i="5"/>
  <c r="C69" i="5"/>
  <c r="H69" i="5" s="1"/>
  <c r="E68" i="5"/>
  <c r="C68" i="5"/>
  <c r="H68" i="5" s="1"/>
  <c r="E67" i="5"/>
  <c r="C67" i="5"/>
  <c r="H67" i="5" s="1"/>
  <c r="E66" i="5"/>
  <c r="C66" i="5"/>
  <c r="H66" i="5" s="1"/>
  <c r="E65" i="5"/>
  <c r="C65" i="5"/>
  <c r="H65" i="5" s="1"/>
  <c r="E64" i="5"/>
  <c r="C64" i="5"/>
  <c r="H64" i="5" s="1"/>
  <c r="E63" i="5"/>
  <c r="C63" i="5"/>
  <c r="H63" i="5" s="1"/>
  <c r="E62" i="5"/>
  <c r="C62" i="5"/>
  <c r="H62" i="5" s="1"/>
  <c r="E61" i="5"/>
  <c r="C61" i="5"/>
  <c r="H61" i="5" s="1"/>
  <c r="E60" i="5"/>
  <c r="C60" i="5"/>
  <c r="H60" i="5" s="1"/>
  <c r="E59" i="5"/>
  <c r="C59" i="5"/>
  <c r="H59" i="5" s="1"/>
  <c r="T58" i="5"/>
  <c r="S58" i="5"/>
  <c r="R58" i="5"/>
  <c r="O58" i="5"/>
  <c r="N58" i="5"/>
  <c r="P58" i="5" s="1"/>
  <c r="R54" i="5"/>
  <c r="P54" i="5"/>
  <c r="N54" i="5"/>
  <c r="O54" i="5" s="1"/>
  <c r="D54" i="5"/>
  <c r="F54" i="5" s="1"/>
  <c r="C54" i="5"/>
  <c r="E54" i="5" s="1"/>
  <c r="E53" i="5"/>
  <c r="C53" i="5"/>
  <c r="H53" i="5" s="1"/>
  <c r="C52" i="5"/>
  <c r="E51" i="5"/>
  <c r="C51" i="5"/>
  <c r="H51" i="5" s="1"/>
  <c r="H50" i="5"/>
  <c r="G50" i="5"/>
  <c r="C50" i="5"/>
  <c r="E50" i="5" s="1"/>
  <c r="E49" i="5"/>
  <c r="C49" i="5"/>
  <c r="H49" i="5" s="1"/>
  <c r="M48" i="5"/>
  <c r="L48" i="5"/>
  <c r="I48" i="5"/>
  <c r="H48" i="5"/>
  <c r="E48" i="5"/>
  <c r="D48" i="5"/>
  <c r="F48" i="5" s="1"/>
  <c r="C48" i="5"/>
  <c r="G48" i="5" s="1"/>
  <c r="M47" i="5"/>
  <c r="L47" i="5"/>
  <c r="K47" i="5"/>
  <c r="K48" i="5" s="1"/>
  <c r="J47" i="5"/>
  <c r="J48" i="5" s="1"/>
  <c r="I47" i="5"/>
  <c r="H47" i="5"/>
  <c r="G47" i="5"/>
  <c r="D47" i="5"/>
  <c r="F47" i="5" s="1"/>
  <c r="C47" i="5"/>
  <c r="E47" i="5" s="1"/>
  <c r="E46" i="5"/>
  <c r="C46" i="5"/>
  <c r="H46" i="5" s="1"/>
  <c r="M45" i="5"/>
  <c r="L45" i="5"/>
  <c r="I45" i="5"/>
  <c r="H45" i="5"/>
  <c r="E45" i="5"/>
  <c r="D45" i="5"/>
  <c r="F45" i="5" s="1"/>
  <c r="C45" i="5"/>
  <c r="G45" i="5" s="1"/>
  <c r="M44" i="5"/>
  <c r="L44" i="5"/>
  <c r="K44" i="5"/>
  <c r="K45" i="5" s="1"/>
  <c r="J44" i="5"/>
  <c r="J45" i="5" s="1"/>
  <c r="I44" i="5"/>
  <c r="D44" i="5"/>
  <c r="F44" i="5" s="1"/>
  <c r="C44" i="5"/>
  <c r="E44" i="5" s="1"/>
  <c r="M42" i="5"/>
  <c r="L42" i="5"/>
  <c r="K42" i="5"/>
  <c r="J42" i="5"/>
  <c r="I42" i="5"/>
  <c r="H42" i="5"/>
  <c r="H41" i="5"/>
  <c r="M40" i="5"/>
  <c r="L40" i="5"/>
  <c r="K40" i="5"/>
  <c r="J40" i="5"/>
  <c r="I40" i="5"/>
  <c r="H40" i="5"/>
  <c r="H39" i="5"/>
  <c r="S38" i="5"/>
  <c r="R38" i="5"/>
  <c r="Q38" i="5"/>
  <c r="P38" i="5"/>
  <c r="O38" i="5"/>
  <c r="M38" i="5"/>
  <c r="L38" i="5"/>
  <c r="K38" i="5"/>
  <c r="J38" i="5"/>
  <c r="I38" i="5"/>
  <c r="H38" i="5"/>
  <c r="H37" i="5"/>
  <c r="H36" i="5"/>
  <c r="Y18" i="5"/>
  <c r="Y17" i="5"/>
  <c r="Y16" i="5"/>
  <c r="Y15" i="5"/>
  <c r="Y14" i="5"/>
  <c r="Y13" i="5"/>
  <c r="Y12" i="5"/>
  <c r="J8" i="5"/>
  <c r="V8" i="5" s="1"/>
  <c r="I8" i="5"/>
  <c r="U8" i="5" s="1"/>
  <c r="G8" i="5"/>
  <c r="H8" i="5" s="1"/>
  <c r="E8" i="5"/>
  <c r="L7" i="5"/>
  <c r="G7" i="5"/>
  <c r="E7" i="5"/>
  <c r="M6" i="5"/>
  <c r="H6" i="5"/>
  <c r="G6" i="5"/>
  <c r="L6" i="5" s="1"/>
  <c r="E6" i="5"/>
  <c r="U5" i="5"/>
  <c r="I5" i="5"/>
  <c r="H5" i="5"/>
  <c r="G5" i="5"/>
  <c r="L5" i="5" s="1"/>
  <c r="E5" i="5"/>
  <c r="J4" i="5"/>
  <c r="I4" i="5"/>
  <c r="U4" i="5" s="1"/>
  <c r="G4" i="5"/>
  <c r="H4" i="5" s="1"/>
  <c r="E4" i="5"/>
  <c r="V4" i="5" s="1"/>
  <c r="L3" i="5"/>
  <c r="G3" i="5"/>
  <c r="E3" i="5"/>
  <c r="H2" i="5"/>
  <c r="G2" i="5"/>
  <c r="L2" i="5" s="1"/>
  <c r="E2" i="5"/>
  <c r="G46" i="3"/>
  <c r="F45" i="3"/>
  <c r="H46" i="3" s="1"/>
  <c r="H33" i="3"/>
  <c r="L31" i="3"/>
  <c r="K31" i="3"/>
  <c r="I31" i="3"/>
  <c r="N31" i="3" s="1"/>
  <c r="N30" i="3"/>
  <c r="J30" i="3"/>
  <c r="I30" i="3"/>
  <c r="M30" i="3" s="1"/>
  <c r="L29" i="3"/>
  <c r="K29" i="3"/>
  <c r="I29" i="3"/>
  <c r="N29" i="3" s="1"/>
  <c r="N28" i="3"/>
  <c r="I28" i="3"/>
  <c r="L27" i="3"/>
  <c r="K27" i="3"/>
  <c r="I27" i="3"/>
  <c r="N27" i="3" s="1"/>
  <c r="N26" i="3"/>
  <c r="M26" i="3"/>
  <c r="J26" i="3"/>
  <c r="I26" i="3"/>
  <c r="N22" i="3"/>
  <c r="H22" i="3"/>
  <c r="O21" i="3"/>
  <c r="I21" i="3"/>
  <c r="M20" i="3"/>
  <c r="J20" i="3"/>
  <c r="I20" i="3"/>
  <c r="O19" i="3"/>
  <c r="L19" i="3"/>
  <c r="K19" i="3"/>
  <c r="J19" i="3"/>
  <c r="I19" i="3"/>
  <c r="M19" i="3" s="1"/>
  <c r="O18" i="3"/>
  <c r="I18" i="3"/>
  <c r="O17" i="3"/>
  <c r="L17" i="3"/>
  <c r="K17" i="3"/>
  <c r="J17" i="3"/>
  <c r="I17" i="3"/>
  <c r="M17" i="3" s="1"/>
  <c r="O16" i="3"/>
  <c r="I16" i="3"/>
  <c r="O15" i="3"/>
  <c r="L15" i="3"/>
  <c r="K15" i="3"/>
  <c r="I15" i="3"/>
  <c r="J15" i="3" s="1"/>
  <c r="O14" i="3"/>
  <c r="I14" i="3"/>
  <c r="O13" i="3"/>
  <c r="L13" i="3"/>
  <c r="K13" i="3"/>
  <c r="I13" i="3"/>
  <c r="J13" i="3" s="1"/>
  <c r="O12" i="3"/>
  <c r="I12" i="3"/>
  <c r="O11" i="3"/>
  <c r="L11" i="3"/>
  <c r="K11" i="3"/>
  <c r="I11" i="3"/>
  <c r="J11" i="3" s="1"/>
  <c r="O10" i="3"/>
  <c r="I10" i="3"/>
  <c r="O9" i="3"/>
  <c r="L9" i="3"/>
  <c r="K9" i="3"/>
  <c r="I9" i="3"/>
  <c r="J9" i="3" s="1"/>
  <c r="O8" i="3"/>
  <c r="I8" i="3"/>
  <c r="O7" i="3"/>
  <c r="L7" i="3"/>
  <c r="K7" i="3"/>
  <c r="I7" i="3"/>
  <c r="J7" i="3" s="1"/>
  <c r="O6" i="3"/>
  <c r="K6" i="3"/>
  <c r="J6" i="3"/>
  <c r="I6" i="3"/>
  <c r="L6" i="3" s="1"/>
  <c r="O5" i="3"/>
  <c r="L5" i="3"/>
  <c r="I5" i="3"/>
  <c r="K5" i="3" s="1"/>
  <c r="O4" i="3"/>
  <c r="K4" i="3"/>
  <c r="J4" i="3"/>
  <c r="I4" i="3"/>
  <c r="M4" i="3" s="1"/>
  <c r="O3" i="3"/>
  <c r="L3" i="3"/>
  <c r="I3" i="3"/>
  <c r="K3" i="3" s="1"/>
  <c r="P2" i="3"/>
  <c r="Q2" i="3" s="1"/>
  <c r="O2" i="3"/>
  <c r="L2" i="3"/>
  <c r="K2" i="3"/>
  <c r="I2" i="3"/>
  <c r="I22" i="3" s="1"/>
  <c r="F36" i="2"/>
  <c r="E36" i="2"/>
  <c r="D36" i="2"/>
  <c r="D35" i="2"/>
  <c r="F35" i="2" s="1"/>
  <c r="D34" i="2"/>
  <c r="F34" i="2" s="1"/>
  <c r="F33" i="2"/>
  <c r="D33" i="2"/>
  <c r="E33" i="2" s="1"/>
  <c r="F32" i="2"/>
  <c r="E32" i="2"/>
  <c r="D32" i="2"/>
  <c r="D31" i="2"/>
  <c r="F31" i="2" s="1"/>
  <c r="D30" i="2"/>
  <c r="F30" i="2" s="1"/>
  <c r="D26" i="2"/>
  <c r="D22" i="2"/>
  <c r="F19" i="2"/>
  <c r="D19" i="2"/>
  <c r="E19" i="2" s="1"/>
  <c r="D18" i="2"/>
  <c r="D25" i="2" s="1"/>
  <c r="F17" i="2"/>
  <c r="E17" i="2"/>
  <c r="D17" i="2"/>
  <c r="D24" i="2" s="1"/>
  <c r="E16" i="2"/>
  <c r="D16" i="2"/>
  <c r="F16" i="2" s="1"/>
  <c r="F15" i="2"/>
  <c r="E15" i="2"/>
  <c r="D15" i="2"/>
  <c r="E14" i="2"/>
  <c r="D14" i="2"/>
  <c r="D21" i="2" s="1"/>
  <c r="U13" i="2"/>
  <c r="S13" i="2"/>
  <c r="Q13" i="2"/>
  <c r="O13" i="2"/>
  <c r="N13" i="2"/>
  <c r="M13" i="2"/>
  <c r="L13" i="2"/>
  <c r="L22" i="2" s="1"/>
  <c r="K13" i="2"/>
  <c r="J13" i="2"/>
  <c r="J22" i="2" s="1"/>
  <c r="I13" i="2"/>
  <c r="H13" i="2"/>
  <c r="H22" i="2" s="1"/>
  <c r="F8" i="2"/>
  <c r="D8" i="2"/>
  <c r="E8" i="2" s="1"/>
  <c r="E7" i="2"/>
  <c r="D7" i="2"/>
  <c r="F7" i="2" s="1"/>
  <c r="F6" i="2"/>
  <c r="D6" i="2"/>
  <c r="E6" i="2" s="1"/>
  <c r="F5" i="2"/>
  <c r="E5" i="2"/>
  <c r="D5" i="2"/>
  <c r="D4" i="2"/>
  <c r="E4" i="2" s="1"/>
  <c r="E3" i="2"/>
  <c r="D3" i="2"/>
  <c r="F3" i="2" s="1"/>
  <c r="G8" i="1"/>
  <c r="H8" i="1" s="1"/>
  <c r="E8" i="1"/>
  <c r="D8" i="1"/>
  <c r="C8" i="1"/>
  <c r="F8" i="1" s="1"/>
  <c r="E4" i="1"/>
  <c r="D4" i="1"/>
  <c r="C4" i="1"/>
  <c r="L2" i="1"/>
  <c r="J2" i="1"/>
  <c r="I2" i="1"/>
  <c r="M2" i="1" s="1"/>
  <c r="N2" i="1" s="1"/>
  <c r="F2" i="1"/>
  <c r="G2" i="1" s="1"/>
  <c r="D2" i="1"/>
  <c r="E2" i="1" s="1"/>
  <c r="K2" i="1" s="1"/>
  <c r="B2" i="1"/>
  <c r="I22" i="2" l="1"/>
  <c r="P13" i="2"/>
  <c r="R13" i="2"/>
  <c r="K22" i="2"/>
  <c r="N22" i="2" s="1"/>
  <c r="M22" i="2"/>
  <c r="T13" i="2"/>
  <c r="H2" i="1"/>
  <c r="I8" i="1"/>
  <c r="F4" i="2"/>
  <c r="E18" i="2"/>
  <c r="D23" i="2"/>
  <c r="E31" i="2"/>
  <c r="E35" i="2"/>
  <c r="L8" i="3"/>
  <c r="K8" i="3"/>
  <c r="L10" i="3"/>
  <c r="K10" i="3"/>
  <c r="L12" i="3"/>
  <c r="K12" i="3"/>
  <c r="L14" i="3"/>
  <c r="K14" i="3"/>
  <c r="L16" i="3"/>
  <c r="K16" i="3"/>
  <c r="M5" i="5"/>
  <c r="O5" i="5"/>
  <c r="S17" i="5"/>
  <c r="S23" i="5" s="1"/>
  <c r="S16" i="5"/>
  <c r="S22" i="5" s="1"/>
  <c r="S15" i="5"/>
  <c r="S21" i="5" s="1"/>
  <c r="S13" i="5"/>
  <c r="S19" i="5" s="1"/>
  <c r="S12" i="5"/>
  <c r="S18" i="5" s="1"/>
  <c r="O7" i="5"/>
  <c r="N7" i="5"/>
  <c r="M7" i="5"/>
  <c r="S14" i="5"/>
  <c r="S20" i="5" s="1"/>
  <c r="E52" i="5"/>
  <c r="H52" i="5"/>
  <c r="G52" i="5"/>
  <c r="D52" i="5"/>
  <c r="F52" i="5" s="1"/>
  <c r="F14" i="2"/>
  <c r="F18" i="2"/>
  <c r="E30" i="2"/>
  <c r="E34" i="2"/>
  <c r="M2" i="3"/>
  <c r="M3" i="3"/>
  <c r="M5" i="3"/>
  <c r="J8" i="3"/>
  <c r="J10" i="3"/>
  <c r="J12" i="3"/>
  <c r="J14" i="3"/>
  <c r="J16" i="3"/>
  <c r="L18" i="3"/>
  <c r="K18" i="3"/>
  <c r="K21" i="3"/>
  <c r="J21" i="3"/>
  <c r="N33" i="3"/>
  <c r="L28" i="3"/>
  <c r="K28" i="3"/>
  <c r="O2" i="5"/>
  <c r="N2" i="5"/>
  <c r="J2" i="3"/>
  <c r="O22" i="3"/>
  <c r="Q22" i="3" s="1"/>
  <c r="J3" i="3"/>
  <c r="L4" i="3"/>
  <c r="L22" i="3" s="1"/>
  <c r="J5" i="3"/>
  <c r="M6" i="3"/>
  <c r="M8" i="3"/>
  <c r="M10" i="3"/>
  <c r="M12" i="3"/>
  <c r="M14" i="3"/>
  <c r="M16" i="3"/>
  <c r="J18" i="3"/>
  <c r="L20" i="3"/>
  <c r="K20" i="3"/>
  <c r="L21" i="3"/>
  <c r="L26" i="3"/>
  <c r="K26" i="3"/>
  <c r="J28" i="3"/>
  <c r="J3" i="5"/>
  <c r="V3" i="5" s="1"/>
  <c r="I3" i="5"/>
  <c r="U3" i="5" s="1"/>
  <c r="H3" i="5"/>
  <c r="O6" i="5"/>
  <c r="N6" i="5"/>
  <c r="K22" i="3"/>
  <c r="M18" i="3"/>
  <c r="M21" i="3"/>
  <c r="M28" i="3"/>
  <c r="I33" i="3"/>
  <c r="M2" i="5"/>
  <c r="O3" i="5"/>
  <c r="Q3" i="5" s="1"/>
  <c r="N3" i="5"/>
  <c r="P3" i="5" s="1"/>
  <c r="M3" i="5"/>
  <c r="N5" i="5"/>
  <c r="P5" i="5" s="1"/>
  <c r="J7" i="5"/>
  <c r="V7" i="5" s="1"/>
  <c r="I7" i="5"/>
  <c r="U7" i="5" s="1"/>
  <c r="H7" i="5"/>
  <c r="M7" i="3"/>
  <c r="M9" i="3"/>
  <c r="M11" i="3"/>
  <c r="M13" i="3"/>
  <c r="M15" i="3"/>
  <c r="M27" i="3"/>
  <c r="M33" i="3" s="1"/>
  <c r="M35" i="3" s="1"/>
  <c r="M29" i="3"/>
  <c r="K30" i="3"/>
  <c r="M31" i="3"/>
  <c r="I2" i="5"/>
  <c r="U2" i="5" s="1"/>
  <c r="L4" i="5"/>
  <c r="J5" i="5"/>
  <c r="V5" i="5" s="1"/>
  <c r="I6" i="5"/>
  <c r="U6" i="5" s="1"/>
  <c r="L8" i="5"/>
  <c r="G44" i="5"/>
  <c r="G54" i="5"/>
  <c r="T54" i="5"/>
  <c r="S54" i="5"/>
  <c r="J27" i="3"/>
  <c r="J33" i="3" s="1"/>
  <c r="J35" i="3" s="1"/>
  <c r="J29" i="3"/>
  <c r="L30" i="3"/>
  <c r="J31" i="3"/>
  <c r="J2" i="5"/>
  <c r="V2" i="5" s="1"/>
  <c r="J6" i="5"/>
  <c r="V6" i="5" s="1"/>
  <c r="H44" i="5"/>
  <c r="D50" i="5"/>
  <c r="F50" i="5" s="1"/>
  <c r="H54" i="5"/>
  <c r="M87" i="5"/>
  <c r="M106" i="5" s="1"/>
  <c r="L87" i="5"/>
  <c r="L90" i="5"/>
  <c r="K90" i="5"/>
  <c r="K106" i="5" s="1"/>
  <c r="L92" i="5"/>
  <c r="L106" i="5" s="1"/>
  <c r="K92" i="5"/>
  <c r="L94" i="5"/>
  <c r="K94" i="5"/>
  <c r="L96" i="5"/>
  <c r="K96" i="5"/>
  <c r="L98" i="5"/>
  <c r="K98" i="5"/>
  <c r="L100" i="5"/>
  <c r="K100" i="5"/>
  <c r="L102" i="5"/>
  <c r="K102" i="5"/>
  <c r="L104" i="5"/>
  <c r="K104" i="5"/>
  <c r="J106" i="5"/>
  <c r="L110" i="5"/>
  <c r="K110" i="5"/>
  <c r="G46" i="5"/>
  <c r="G49" i="5"/>
  <c r="G51" i="5"/>
  <c r="G53" i="5"/>
  <c r="G59" i="5"/>
  <c r="I59" i="5" s="1"/>
  <c r="J59" i="5" s="1"/>
  <c r="G60" i="5"/>
  <c r="I60" i="5" s="1"/>
  <c r="J60" i="5" s="1"/>
  <c r="G61" i="5"/>
  <c r="I61" i="5" s="1"/>
  <c r="J61" i="5" s="1"/>
  <c r="G62" i="5"/>
  <c r="I62" i="5" s="1"/>
  <c r="J62" i="5" s="1"/>
  <c r="G63" i="5"/>
  <c r="I63" i="5" s="1"/>
  <c r="J63" i="5" s="1"/>
  <c r="G64" i="5"/>
  <c r="I64" i="5" s="1"/>
  <c r="J64" i="5" s="1"/>
  <c r="G65" i="5"/>
  <c r="I65" i="5" s="1"/>
  <c r="J65" i="5" s="1"/>
  <c r="G66" i="5"/>
  <c r="I66" i="5" s="1"/>
  <c r="J66" i="5" s="1"/>
  <c r="G67" i="5"/>
  <c r="I67" i="5" s="1"/>
  <c r="J67" i="5" s="1"/>
  <c r="G68" i="5"/>
  <c r="I68" i="5" s="1"/>
  <c r="J68" i="5" s="1"/>
  <c r="G69" i="5"/>
  <c r="I69" i="5" s="1"/>
  <c r="J69" i="5" s="1"/>
  <c r="G80" i="5"/>
  <c r="I80" i="5" s="1"/>
  <c r="J80" i="5" s="1"/>
  <c r="N86" i="5"/>
  <c r="M89" i="5"/>
  <c r="M91" i="5"/>
  <c r="M93" i="5"/>
  <c r="M95" i="5"/>
  <c r="M97" i="5"/>
  <c r="M99" i="5"/>
  <c r="M101" i="5"/>
  <c r="M103" i="5"/>
  <c r="N105" i="5"/>
  <c r="D46" i="5"/>
  <c r="F46" i="5" s="1"/>
  <c r="D49" i="5"/>
  <c r="F49" i="5" s="1"/>
  <c r="D51" i="5"/>
  <c r="F51" i="5" s="1"/>
  <c r="D53" i="5"/>
  <c r="F53" i="5" s="1"/>
  <c r="D59" i="5"/>
  <c r="F59" i="5" s="1"/>
  <c r="D60" i="5"/>
  <c r="F60" i="5" s="1"/>
  <c r="D61" i="5"/>
  <c r="F61" i="5" s="1"/>
  <c r="D62" i="5"/>
  <c r="F62" i="5" s="1"/>
  <c r="D63" i="5"/>
  <c r="F63" i="5" s="1"/>
  <c r="D64" i="5"/>
  <c r="F64" i="5" s="1"/>
  <c r="D65" i="5"/>
  <c r="F65" i="5" s="1"/>
  <c r="D66" i="5"/>
  <c r="F66" i="5" s="1"/>
  <c r="D67" i="5"/>
  <c r="F67" i="5" s="1"/>
  <c r="D68" i="5"/>
  <c r="F68" i="5" s="1"/>
  <c r="D69" i="5"/>
  <c r="F69" i="5" s="1"/>
  <c r="N106" i="5" l="1"/>
  <c r="N4" i="5"/>
  <c r="P4" i="5" s="1"/>
  <c r="M4" i="5"/>
  <c r="O4" i="5"/>
  <c r="Q4" i="5" s="1"/>
  <c r="O17" i="5"/>
  <c r="O23" i="5" s="1"/>
  <c r="O16" i="5"/>
  <c r="O22" i="5" s="1"/>
  <c r="O14" i="5"/>
  <c r="O20" i="5" s="1"/>
  <c r="O13" i="5"/>
  <c r="O19" i="5" s="1"/>
  <c r="O12" i="5"/>
  <c r="O18" i="5" s="1"/>
  <c r="O15" i="5"/>
  <c r="O21" i="5" s="1"/>
  <c r="P6" i="5"/>
  <c r="P7" i="5"/>
  <c r="R17" i="5"/>
  <c r="R23" i="5" s="1"/>
  <c r="R16" i="5"/>
  <c r="R22" i="5" s="1"/>
  <c r="R15" i="5"/>
  <c r="R21" i="5" s="1"/>
  <c r="R14" i="5"/>
  <c r="R20" i="5" s="1"/>
  <c r="R13" i="5"/>
  <c r="R19" i="5" s="1"/>
  <c r="R12" i="5"/>
  <c r="R18" i="5" s="1"/>
  <c r="R24" i="5" s="1"/>
  <c r="N8" i="5"/>
  <c r="P8" i="5" s="1"/>
  <c r="M8" i="5"/>
  <c r="O8" i="5"/>
  <c r="Q8" i="5" s="1"/>
  <c r="P17" i="5"/>
  <c r="P23" i="5" s="1"/>
  <c r="P16" i="5"/>
  <c r="P22" i="5" s="1"/>
  <c r="P14" i="5"/>
  <c r="P20" i="5" s="1"/>
  <c r="P13" i="5"/>
  <c r="P19" i="5" s="1"/>
  <c r="P12" i="5"/>
  <c r="P18" i="5" s="1"/>
  <c r="P15" i="5"/>
  <c r="P21" i="5" s="1"/>
  <c r="G16" i="2"/>
  <c r="G18" i="2"/>
  <c r="G19" i="2"/>
  <c r="G17" i="2"/>
  <c r="G14" i="2"/>
  <c r="G15" i="2"/>
  <c r="Q6" i="5"/>
  <c r="P2" i="5"/>
  <c r="N35" i="3"/>
  <c r="M22" i="3"/>
  <c r="Q7" i="5"/>
  <c r="K33" i="3"/>
  <c r="K35" i="3" s="1"/>
  <c r="J22" i="3"/>
  <c r="Q2" i="5"/>
  <c r="S24" i="5"/>
  <c r="L33" i="3"/>
  <c r="L35" i="3" s="1"/>
  <c r="T15" i="5"/>
  <c r="T21" i="5" s="1"/>
  <c r="T13" i="5"/>
  <c r="T19" i="5" s="1"/>
  <c r="T12" i="5"/>
  <c r="T18" i="5" s="1"/>
  <c r="T17" i="5"/>
  <c r="T23" i="5" s="1"/>
  <c r="T14" i="5"/>
  <c r="T20" i="5" s="1"/>
  <c r="T16" i="5"/>
  <c r="T22" i="5" s="1"/>
  <c r="Q5" i="5"/>
  <c r="L14" i="2" l="1"/>
  <c r="S14" i="2" s="1"/>
  <c r="H14" i="2"/>
  <c r="O14" i="2" s="1"/>
  <c r="N14" i="2"/>
  <c r="U14" i="2" s="1"/>
  <c r="J14" i="2"/>
  <c r="Q14" i="2" s="1"/>
  <c r="I14" i="2"/>
  <c r="P14" i="2" s="1"/>
  <c r="M14" i="2"/>
  <c r="T14" i="2" s="1"/>
  <c r="K14" i="2"/>
  <c r="R14" i="2" s="1"/>
  <c r="L16" i="2"/>
  <c r="S16" i="2" s="1"/>
  <c r="H16" i="2"/>
  <c r="O16" i="2" s="1"/>
  <c r="K16" i="2"/>
  <c r="R16" i="2" s="1"/>
  <c r="N16" i="2"/>
  <c r="U16" i="2" s="1"/>
  <c r="J16" i="2"/>
  <c r="Q16" i="2" s="1"/>
  <c r="M16" i="2"/>
  <c r="T16" i="2" s="1"/>
  <c r="I16" i="2"/>
  <c r="P16" i="2" s="1"/>
  <c r="U13" i="5"/>
  <c r="U19" i="5" s="1"/>
  <c r="U12" i="5"/>
  <c r="U18" i="5" s="1"/>
  <c r="U17" i="5"/>
  <c r="U23" i="5" s="1"/>
  <c r="U14" i="5"/>
  <c r="U20" i="5" s="1"/>
  <c r="U16" i="5"/>
  <c r="U22" i="5" s="1"/>
  <c r="U15" i="5"/>
  <c r="U21" i="5" s="1"/>
  <c r="N17" i="2"/>
  <c r="U17" i="2" s="1"/>
  <c r="J17" i="2"/>
  <c r="Q17" i="2" s="1"/>
  <c r="M17" i="2"/>
  <c r="T17" i="2" s="1"/>
  <c r="I17" i="2"/>
  <c r="P17" i="2" s="1"/>
  <c r="L17" i="2"/>
  <c r="S17" i="2" s="1"/>
  <c r="H17" i="2"/>
  <c r="O17" i="2" s="1"/>
  <c r="K17" i="2"/>
  <c r="R17" i="2" s="1"/>
  <c r="Q16" i="5"/>
  <c r="Q22" i="5" s="1"/>
  <c r="Q14" i="5"/>
  <c r="Q20" i="5" s="1"/>
  <c r="Q13" i="5"/>
  <c r="Q19" i="5" s="1"/>
  <c r="Q12" i="5"/>
  <c r="Q18" i="5" s="1"/>
  <c r="Q24" i="5" s="1"/>
  <c r="Q15" i="5"/>
  <c r="Q21" i="5" s="1"/>
  <c r="Q17" i="5"/>
  <c r="Q23" i="5" s="1"/>
  <c r="T24" i="5"/>
  <c r="N19" i="2"/>
  <c r="U19" i="2" s="1"/>
  <c r="J19" i="2"/>
  <c r="Q19" i="2" s="1"/>
  <c r="M19" i="2"/>
  <c r="T19" i="2" s="1"/>
  <c r="I19" i="2"/>
  <c r="P19" i="2" s="1"/>
  <c r="L19" i="2"/>
  <c r="S19" i="2" s="1"/>
  <c r="H19" i="2"/>
  <c r="O19" i="2" s="1"/>
  <c r="K19" i="2"/>
  <c r="R19" i="2" s="1"/>
  <c r="P24" i="5"/>
  <c r="P30" i="5" s="1"/>
  <c r="P25" i="5"/>
  <c r="N15" i="2"/>
  <c r="U15" i="2" s="1"/>
  <c r="J15" i="2"/>
  <c r="Q15" i="2" s="1"/>
  <c r="M15" i="2"/>
  <c r="T15" i="2" s="1"/>
  <c r="I15" i="2"/>
  <c r="P15" i="2" s="1"/>
  <c r="L15" i="2"/>
  <c r="S15" i="2" s="1"/>
  <c r="H15" i="2"/>
  <c r="O15" i="2" s="1"/>
  <c r="K15" i="2"/>
  <c r="R15" i="2" s="1"/>
  <c r="L18" i="2"/>
  <c r="S18" i="2" s="1"/>
  <c r="H18" i="2"/>
  <c r="O18" i="2" s="1"/>
  <c r="K18" i="2"/>
  <c r="R18" i="2" s="1"/>
  <c r="N18" i="2"/>
  <c r="U18" i="2" s="1"/>
  <c r="J18" i="2"/>
  <c r="Q18" i="2" s="1"/>
  <c r="M18" i="2"/>
  <c r="T18" i="2" s="1"/>
  <c r="I18" i="2"/>
  <c r="P18" i="2" s="1"/>
  <c r="P26" i="5"/>
  <c r="O24" i="5"/>
  <c r="O30" i="5" s="1"/>
  <c r="O25" i="5"/>
  <c r="O27" i="5" l="1"/>
  <c r="O29" i="5"/>
  <c r="P29" i="5"/>
  <c r="P27" i="5"/>
  <c r="O28" i="5"/>
  <c r="P28" i="5"/>
  <c r="O26" i="5"/>
  <c r="U24" i="5"/>
</calcChain>
</file>

<file path=xl/sharedStrings.xml><?xml version="1.0" encoding="utf-8"?>
<sst xmlns="http://schemas.openxmlformats.org/spreadsheetml/2006/main" count="727" uniqueCount="175">
  <si>
    <t>Cow weight (kg)</t>
  </si>
  <si>
    <t>DMI (kg) Maintenance</t>
  </si>
  <si>
    <t>Milk 3.7%fat (lit)</t>
  </si>
  <si>
    <t>DMI (kg) Lactation</t>
  </si>
  <si>
    <t>Total DMI Req (kg)</t>
  </si>
  <si>
    <t>Total CP required (kg)</t>
  </si>
  <si>
    <t>RDP Req (kg)</t>
  </si>
  <si>
    <t>RUP Req (kg)</t>
  </si>
  <si>
    <t>ME (MJ/d) Milking</t>
  </si>
  <si>
    <t>TDN kg</t>
  </si>
  <si>
    <t>ADF REQ Min (kg/d)</t>
  </si>
  <si>
    <t>NDF REQ Min (kg/d)</t>
  </si>
  <si>
    <t>ME (MCal/d) Milking</t>
  </si>
  <si>
    <t>BW kg</t>
  </si>
  <si>
    <t>Milk3.7 Lit</t>
  </si>
  <si>
    <t>DMI kg</t>
  </si>
  <si>
    <t>ME req Mcal</t>
  </si>
  <si>
    <t>NDF min kg</t>
  </si>
  <si>
    <t>ADF min kg</t>
  </si>
  <si>
    <t>CP req kg</t>
  </si>
  <si>
    <t>RDP req kg</t>
  </si>
  <si>
    <t>RUP req kg</t>
  </si>
  <si>
    <t>Calf starter</t>
  </si>
  <si>
    <t>FPR 400 GRAM WT GAIN</t>
  </si>
  <si>
    <t>wt</t>
  </si>
  <si>
    <t>DMI</t>
  </si>
  <si>
    <t>FROM MILK</t>
  </si>
  <si>
    <t>amount of milk</t>
  </si>
  <si>
    <t>from starter</t>
  </si>
  <si>
    <t>ME MCAL</t>
  </si>
  <si>
    <t>Corn</t>
  </si>
  <si>
    <t>Wheat</t>
  </si>
  <si>
    <t>SBM</t>
  </si>
  <si>
    <t>CM</t>
  </si>
  <si>
    <t>WB</t>
  </si>
  <si>
    <t>Mol</t>
  </si>
  <si>
    <t>MM</t>
  </si>
  <si>
    <t>Amount of starter kg</t>
  </si>
  <si>
    <t>DMI req kg</t>
  </si>
  <si>
    <t>DMI from milk</t>
  </si>
  <si>
    <t>DMI from starter</t>
  </si>
  <si>
    <t>Amount of milk lit</t>
  </si>
  <si>
    <t>ME from milk</t>
  </si>
  <si>
    <t>CP from milk</t>
  </si>
  <si>
    <t>DM</t>
  </si>
  <si>
    <t>ME</t>
  </si>
  <si>
    <t>CP</t>
  </si>
  <si>
    <t>NDF</t>
  </si>
  <si>
    <t>ADF</t>
  </si>
  <si>
    <t>KILO</t>
  </si>
  <si>
    <t>Per kg cost</t>
  </si>
  <si>
    <t>Total cost</t>
  </si>
  <si>
    <t>Forage kg</t>
  </si>
  <si>
    <t>Conc Kg</t>
  </si>
  <si>
    <t>Corn Silage</t>
  </si>
  <si>
    <t>WS</t>
  </si>
  <si>
    <t>Maize gacha</t>
  </si>
  <si>
    <t>Rapeseed cake</t>
  </si>
  <si>
    <t>CG60</t>
  </si>
  <si>
    <t>RSM</t>
  </si>
  <si>
    <t>palm cake</t>
  </si>
  <si>
    <t>Urea</t>
  </si>
  <si>
    <t>Toxin binder</t>
  </si>
  <si>
    <t>minerals</t>
  </si>
  <si>
    <t>Fat 99</t>
  </si>
  <si>
    <t>DCP</t>
  </si>
  <si>
    <t>salt</t>
  </si>
  <si>
    <t>Yeast</t>
  </si>
  <si>
    <t>Buffer</t>
  </si>
  <si>
    <t>soda</t>
  </si>
  <si>
    <t>Starch</t>
  </si>
  <si>
    <t>Calf formulas</t>
  </si>
  <si>
    <t>Milk</t>
  </si>
  <si>
    <t>ME req</t>
  </si>
  <si>
    <t>CP req</t>
  </si>
  <si>
    <t>Amount of milk</t>
  </si>
  <si>
    <t>Amount of starter</t>
  </si>
  <si>
    <t>ME from starter</t>
  </si>
  <si>
    <t>CP from starter</t>
  </si>
  <si>
    <t>ME per day total</t>
  </si>
  <si>
    <t>CP per day total</t>
  </si>
  <si>
    <t>BW (kg)</t>
  </si>
  <si>
    <t>Milk (lit)</t>
  </si>
  <si>
    <t>Calf starter (g)</t>
  </si>
  <si>
    <t>Calf Starter Formula</t>
  </si>
  <si>
    <t>22 parts</t>
  </si>
  <si>
    <t>15 parts</t>
  </si>
  <si>
    <t>25 parts</t>
  </si>
  <si>
    <t xml:space="preserve"> 10 parts</t>
  </si>
  <si>
    <t>23 parts</t>
  </si>
  <si>
    <t>5 parts</t>
  </si>
  <si>
    <t>mature BW</t>
  </si>
  <si>
    <t>dm</t>
  </si>
  <si>
    <t>me m</t>
  </si>
  <si>
    <t>me growth</t>
  </si>
  <si>
    <t>me total</t>
  </si>
  <si>
    <t>CP M</t>
  </si>
  <si>
    <t>CP gro</t>
  </si>
  <si>
    <t>local</t>
  </si>
  <si>
    <t>imported</t>
  </si>
  <si>
    <t>Closeup</t>
  </si>
  <si>
    <t>dry Far off</t>
  </si>
  <si>
    <t>cp total</t>
  </si>
  <si>
    <t>cp kg</t>
  </si>
  <si>
    <t>Ingredient</t>
  </si>
  <si>
    <t>DM %</t>
  </si>
  <si>
    <t>ME (MCals/kg)</t>
  </si>
  <si>
    <t>CP%</t>
  </si>
  <si>
    <t>NDF%</t>
  </si>
  <si>
    <t>ADF%</t>
  </si>
  <si>
    <t>Ash%</t>
  </si>
  <si>
    <t>TDN %</t>
  </si>
  <si>
    <t>Corn silage</t>
  </si>
  <si>
    <t>Corn fodder with cobs</t>
  </si>
  <si>
    <t>Corn fodder without cobbs</t>
  </si>
  <si>
    <t>Sorghum foodder</t>
  </si>
  <si>
    <t>Barseem</t>
  </si>
  <si>
    <t>Lucerne</t>
  </si>
  <si>
    <t>Napier grass</t>
  </si>
  <si>
    <t>Elephant grass</t>
  </si>
  <si>
    <t>Mott grass</t>
  </si>
  <si>
    <t>Wheat straw</t>
  </si>
  <si>
    <t>Corn grain</t>
  </si>
  <si>
    <t>Wheat grain</t>
  </si>
  <si>
    <t>Rice grain</t>
  </si>
  <si>
    <t>Soybean meal</t>
  </si>
  <si>
    <t>Canola meal</t>
  </si>
  <si>
    <t>Rapeseed meal</t>
  </si>
  <si>
    <t>Corn gluten meal60</t>
  </si>
  <si>
    <t>Corn gluten meal30</t>
  </si>
  <si>
    <t>Guar meal</t>
  </si>
  <si>
    <t>Sunflower meal</t>
  </si>
  <si>
    <t>Palm kernel cake</t>
  </si>
  <si>
    <t>Molasses</t>
  </si>
  <si>
    <t>Wheat bran</t>
  </si>
  <si>
    <t>Rice polish</t>
  </si>
  <si>
    <t>Oat</t>
  </si>
  <si>
    <t>Before weaning</t>
  </si>
  <si>
    <t>Local breed</t>
  </si>
  <si>
    <t>Body weight</t>
  </si>
  <si>
    <t>MIlk (lit/d)</t>
  </si>
  <si>
    <t>Calf starter (g/d)</t>
  </si>
  <si>
    <t>Imported</t>
  </si>
  <si>
    <t>After weaning</t>
  </si>
  <si>
    <t>Imported breed</t>
  </si>
  <si>
    <t>Maize fodder based</t>
  </si>
  <si>
    <t>Calf weight (kg)</t>
  </si>
  <si>
    <t>Maize fodder</t>
  </si>
  <si>
    <t>Corn gluten meal 60</t>
  </si>
  <si>
    <t>Wheat Bran</t>
  </si>
  <si>
    <t>Salt</t>
  </si>
  <si>
    <t>Mineral mixture</t>
  </si>
  <si>
    <t>Soda bicarb</t>
  </si>
  <si>
    <t>Soorghum fodder based</t>
  </si>
  <si>
    <t>Sorghum fodder based</t>
  </si>
  <si>
    <t>Sorghum fodder</t>
  </si>
  <si>
    <t>Barseem fodder based</t>
  </si>
  <si>
    <t>Barseem fodder</t>
  </si>
  <si>
    <t>Alfalfa fodder based</t>
  </si>
  <si>
    <t>Alfalfa fodder</t>
  </si>
  <si>
    <t>Corn silage based</t>
  </si>
  <si>
    <t>Dry cows (Far-off) (60-22 days prepartum)</t>
  </si>
  <si>
    <t>lmported breed</t>
  </si>
  <si>
    <t>Maize silage based</t>
  </si>
  <si>
    <t>Maize silage</t>
  </si>
  <si>
    <t>Oat fodder</t>
  </si>
  <si>
    <t>Oat Fodder</t>
  </si>
  <si>
    <t>Barseem and oat fodder based</t>
  </si>
  <si>
    <t>Dry cows (Close-up) (&gt;21 days prepartum)</t>
  </si>
  <si>
    <t>imported breed</t>
  </si>
  <si>
    <t>DCAD mineral</t>
  </si>
  <si>
    <t>MgSO4</t>
  </si>
  <si>
    <t>Sorgum fodder</t>
  </si>
  <si>
    <t>Buffer/Soda</t>
  </si>
  <si>
    <t>Barseem oat fodder 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</si>
</sst>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00_ "/>
    <numFmt numFmtId="167" formatCode="0.0_ "/>
  </numFmts>
  <fonts count="10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b/>
      <sz val="10"/>
      <color rgb="FF7030A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theme="1"/>
      <name val="Calibri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4" borderId="1" xfId="0" applyFill="1" applyBorder="1"/>
    <xf numFmtId="0" fontId="0" fillId="0" borderId="1" xfId="0" applyBorder="1"/>
    <xf numFmtId="166" fontId="0" fillId="0" borderId="1" xfId="0" applyNumberFormat="1" applyBorder="1"/>
    <xf numFmtId="167" fontId="0" fillId="0" borderId="1" xfId="0" applyNumberFormat="1" applyBorder="1"/>
    <xf numFmtId="166" fontId="0" fillId="0" borderId="0" xfId="0" applyNumberFormat="1"/>
    <xf numFmtId="167" fontId="0" fillId="0" borderId="0" xfId="0" applyNumberForma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4" borderId="1" xfId="0" applyFill="1" applyBorder="1" applyAlignment="1">
      <alignment horizontal="center"/>
    </xf>
    <xf numFmtId="0" fontId="2" fillId="5" borderId="1" xfId="0" applyFont="1" applyFill="1" applyBorder="1"/>
    <xf numFmtId="0" fontId="0" fillId="6" borderId="0" xfId="0" applyFill="1"/>
    <xf numFmtId="0" fontId="0" fillId="5" borderId="0" xfId="0" applyFill="1" applyBorder="1" applyAlignment="1">
      <alignment horizontal="center"/>
    </xf>
    <xf numFmtId="0" fontId="2" fillId="5" borderId="0" xfId="0" applyFont="1" applyFill="1" applyBorder="1"/>
    <xf numFmtId="0" fontId="2" fillId="5" borderId="2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5" borderId="5" xfId="0" applyFont="1" applyFill="1" applyBorder="1"/>
    <xf numFmtId="0" fontId="0" fillId="0" borderId="1" xfId="0" applyBorder="1"/>
    <xf numFmtId="0" fontId="4" fillId="0" borderId="1" xfId="0" applyFont="1" applyBorder="1"/>
    <xf numFmtId="0" fontId="0" fillId="7" borderId="1" xfId="0" applyFill="1" applyBorder="1"/>
    <xf numFmtId="0" fontId="5" fillId="0" borderId="1" xfId="0" applyFont="1" applyBorder="1"/>
    <xf numFmtId="0" fontId="4" fillId="5" borderId="1" xfId="0" applyFont="1" applyFill="1" applyBorder="1"/>
    <xf numFmtId="0" fontId="0" fillId="5" borderId="1" xfId="0" applyFill="1" applyBorder="1"/>
    <xf numFmtId="0" fontId="0" fillId="4" borderId="0" xfId="0" applyFill="1"/>
    <xf numFmtId="0" fontId="0" fillId="8" borderId="1" xfId="0" applyFill="1" applyBorder="1"/>
    <xf numFmtId="0" fontId="0" fillId="9" borderId="1" xfId="0" applyFill="1" applyBorder="1"/>
    <xf numFmtId="0" fontId="4" fillId="4" borderId="1" xfId="0" applyFont="1" applyFill="1" applyBorder="1"/>
    <xf numFmtId="0" fontId="4" fillId="8" borderId="1" xfId="0" applyFont="1" applyFill="1" applyBorder="1"/>
    <xf numFmtId="0" fontId="5" fillId="0" borderId="0" xfId="0" applyFont="1"/>
    <xf numFmtId="0" fontId="6" fillId="10" borderId="1" xfId="0" applyFont="1" applyFill="1" applyBorder="1" applyAlignment="1"/>
    <xf numFmtId="0" fontId="7" fillId="11" borderId="1" xfId="0" applyFont="1" applyFill="1" applyBorder="1" applyAlignment="1"/>
    <xf numFmtId="0" fontId="8" fillId="8" borderId="1" xfId="0" applyFont="1" applyFill="1" applyBorder="1" applyAlignment="1"/>
    <xf numFmtId="0" fontId="8" fillId="12" borderId="1" xfId="0" applyFont="1" applyFill="1" applyBorder="1" applyAlignment="1"/>
    <xf numFmtId="0" fontId="9" fillId="2" borderId="1" xfId="0" applyFont="1" applyFill="1" applyBorder="1" applyAlignment="1"/>
    <xf numFmtId="0" fontId="9" fillId="10" borderId="1" xfId="0" applyFont="1" applyFill="1" applyBorder="1" applyAlignment="1"/>
    <xf numFmtId="0" fontId="9" fillId="11" borderId="1" xfId="0" applyFont="1" applyFill="1" applyBorder="1" applyAlignment="1"/>
    <xf numFmtId="0" fontId="9" fillId="8" borderId="1" xfId="0" applyFont="1" applyFill="1" applyBorder="1" applyAlignment="1"/>
    <xf numFmtId="0" fontId="9" fillId="12" borderId="1" xfId="0" applyFont="1" applyFill="1" applyBorder="1" applyAlignment="1"/>
    <xf numFmtId="0" fontId="8" fillId="13" borderId="1" xfId="0" applyFont="1" applyFill="1" applyBorder="1" applyAlignment="1"/>
    <xf numFmtId="0" fontId="9" fillId="0" borderId="0" xfId="0" applyFont="1" applyFill="1" applyAlignment="1"/>
    <xf numFmtId="0" fontId="9" fillId="1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="115" zoomScaleNormal="115" workbookViewId="0">
      <selection activeCell="A3" sqref="A3"/>
    </sheetView>
  </sheetViews>
  <sheetFormatPr defaultColWidth="9" defaultRowHeight="15"/>
  <cols>
    <col min="2" max="2" width="10.28515625" customWidth="1"/>
    <col min="4" max="4" width="16.5703125" customWidth="1"/>
    <col min="5" max="5" width="16.28515625" customWidth="1"/>
    <col min="6" max="6" width="11.42578125" customWidth="1"/>
    <col min="7" max="7" width="12" customWidth="1"/>
    <col min="8" max="8" width="10.85546875" customWidth="1"/>
    <col min="9" max="9" width="11.42578125" customWidth="1"/>
  </cols>
  <sheetData>
    <row r="1" spans="1:14">
      <c r="A1" s="34" t="s">
        <v>0</v>
      </c>
      <c r="B1" s="34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7" t="s">
        <v>6</v>
      </c>
      <c r="H1" s="37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4"/>
    </row>
    <row r="2" spans="1:14">
      <c r="A2" s="38">
        <v>600</v>
      </c>
      <c r="B2" s="39">
        <f>2.25/100*A2</f>
        <v>13.5</v>
      </c>
      <c r="C2" s="38">
        <v>0</v>
      </c>
      <c r="D2" s="40">
        <f>0.3*C2</f>
        <v>0</v>
      </c>
      <c r="E2" s="41">
        <f>D2+B2</f>
        <v>13.5</v>
      </c>
      <c r="F2" s="42">
        <f>17/100*E2</f>
        <v>2.2950000000000004</v>
      </c>
      <c r="G2" s="42">
        <f>62.5/100*F2</f>
        <v>1.4343750000000002</v>
      </c>
      <c r="H2" s="42">
        <f>F2-G2</f>
        <v>0.8606250000000002</v>
      </c>
      <c r="I2" s="45">
        <f>10.8/100*A2+5.4*C2</f>
        <v>64.800000000000011</v>
      </c>
      <c r="J2" s="45">
        <f>0.008*A2+0.4*C2</f>
        <v>4.8</v>
      </c>
      <c r="K2" s="45">
        <f>0.2*E2</f>
        <v>2.7</v>
      </c>
      <c r="L2" s="45">
        <f>0.28*E2</f>
        <v>3.7800000000000002</v>
      </c>
      <c r="M2" s="44">
        <f>I2*0.239</f>
        <v>15.487200000000001</v>
      </c>
      <c r="N2" s="44">
        <f>M2*1000</f>
        <v>15487.2</v>
      </c>
    </row>
    <row r="4" spans="1:14">
      <c r="A4">
        <v>425</v>
      </c>
      <c r="B4">
        <v>22</v>
      </c>
      <c r="C4">
        <f>(0.0225*A4)+(0.3*B4)</f>
        <v>16.162500000000001</v>
      </c>
      <c r="D4">
        <f>0.16*C4</f>
        <v>2.5860000000000003</v>
      </c>
      <c r="E4">
        <f>2.41*C4</f>
        <v>38.951625000000007</v>
      </c>
    </row>
    <row r="7" spans="1:14" s="33" customFormat="1">
      <c r="A7" s="33" t="s">
        <v>13</v>
      </c>
      <c r="B7" s="33" t="s">
        <v>14</v>
      </c>
      <c r="C7" s="33" t="s">
        <v>15</v>
      </c>
      <c r="D7" s="33" t="s">
        <v>16</v>
      </c>
      <c r="E7" s="33" t="s">
        <v>17</v>
      </c>
      <c r="F7" s="33" t="s">
        <v>18</v>
      </c>
      <c r="G7" s="33" t="s">
        <v>19</v>
      </c>
      <c r="H7" s="33" t="s">
        <v>20</v>
      </c>
      <c r="I7" s="33" t="s">
        <v>21</v>
      </c>
    </row>
    <row r="8" spans="1:14">
      <c r="A8">
        <v>425</v>
      </c>
      <c r="B8">
        <v>22</v>
      </c>
      <c r="C8">
        <f>(0.0225*A8)+(0.3*B8)</f>
        <v>16.162500000000001</v>
      </c>
      <c r="D8">
        <f>(0.108*A8+5.4*B8)*0.239</f>
        <v>39.363300000000002</v>
      </c>
      <c r="E8">
        <f>C8*0.28</f>
        <v>4.525500000000001</v>
      </c>
      <c r="F8">
        <f>0.2*C8</f>
        <v>3.2325000000000004</v>
      </c>
      <c r="G8">
        <f>0.16*C8</f>
        <v>2.5860000000000003</v>
      </c>
      <c r="H8">
        <f>0.625*G8</f>
        <v>1.6162500000000002</v>
      </c>
      <c r="I8">
        <f>G8-H8</f>
        <v>0.96975000000000011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C1" workbookViewId="0">
      <selection activeCell="H12" sqref="H12:N12"/>
    </sheetView>
  </sheetViews>
  <sheetFormatPr defaultColWidth="9.140625" defaultRowHeight="15"/>
  <cols>
    <col min="4" max="4" width="13.5703125" customWidth="1"/>
    <col min="5" max="6" width="16.7109375" customWidth="1"/>
    <col min="7" max="7" width="21.28515625" customWidth="1"/>
    <col min="8" max="21" width="12.85546875"/>
  </cols>
  <sheetData>
    <row r="1" spans="1:21">
      <c r="A1" t="s">
        <v>22</v>
      </c>
      <c r="C1" t="s">
        <v>23</v>
      </c>
    </row>
    <row r="2" spans="1:21"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</row>
    <row r="3" spans="1:21">
      <c r="B3">
        <v>30</v>
      </c>
      <c r="C3">
        <v>0.65</v>
      </c>
      <c r="D3">
        <f t="shared" ref="D3:D8" si="0">0.7*C3</f>
        <v>0.45499999999999996</v>
      </c>
      <c r="E3">
        <f t="shared" ref="E3:E8" si="1">D3/0.12</f>
        <v>3.7916666666666665</v>
      </c>
      <c r="F3">
        <f t="shared" ref="F3:F8" si="2">C3-D3</f>
        <v>0.19500000000000006</v>
      </c>
      <c r="G3">
        <v>2.7</v>
      </c>
      <c r="J3">
        <v>24.6</v>
      </c>
    </row>
    <row r="4" spans="1:21">
      <c r="B4">
        <v>40</v>
      </c>
      <c r="C4">
        <v>0.75</v>
      </c>
      <c r="D4">
        <f t="shared" si="0"/>
        <v>0.52499999999999991</v>
      </c>
      <c r="E4">
        <f t="shared" si="1"/>
        <v>4.3749999999999991</v>
      </c>
      <c r="F4">
        <f t="shared" si="2"/>
        <v>0.22500000000000009</v>
      </c>
      <c r="G4">
        <v>3.1</v>
      </c>
      <c r="J4">
        <v>22.5</v>
      </c>
    </row>
    <row r="5" spans="1:21">
      <c r="B5">
        <v>50</v>
      </c>
      <c r="C5">
        <v>0.85</v>
      </c>
      <c r="D5">
        <f t="shared" si="0"/>
        <v>0.59499999999999997</v>
      </c>
      <c r="E5">
        <f t="shared" si="1"/>
        <v>4.958333333333333</v>
      </c>
      <c r="F5">
        <f t="shared" si="2"/>
        <v>0.255</v>
      </c>
      <c r="G5">
        <v>3.45</v>
      </c>
      <c r="J5">
        <v>21</v>
      </c>
    </row>
    <row r="6" spans="1:21">
      <c r="B6">
        <v>60</v>
      </c>
      <c r="C6">
        <v>0.95</v>
      </c>
      <c r="D6">
        <f t="shared" si="0"/>
        <v>0.66499999999999992</v>
      </c>
      <c r="E6">
        <f t="shared" si="1"/>
        <v>5.5416666666666661</v>
      </c>
      <c r="F6">
        <f t="shared" si="2"/>
        <v>0.28500000000000003</v>
      </c>
      <c r="G6">
        <v>3.83</v>
      </c>
      <c r="J6">
        <v>20</v>
      </c>
    </row>
    <row r="7" spans="1:21">
      <c r="B7">
        <v>70</v>
      </c>
      <c r="C7">
        <v>1.05</v>
      </c>
      <c r="D7">
        <f t="shared" si="0"/>
        <v>0.73499999999999999</v>
      </c>
      <c r="E7">
        <f t="shared" si="1"/>
        <v>6.125</v>
      </c>
      <c r="F7">
        <f t="shared" si="2"/>
        <v>0.31500000000000006</v>
      </c>
      <c r="G7">
        <v>4.1500000000000004</v>
      </c>
      <c r="J7">
        <v>18.3</v>
      </c>
    </row>
    <row r="8" spans="1:21">
      <c r="B8">
        <v>80</v>
      </c>
      <c r="C8">
        <v>1.1499999999999999</v>
      </c>
      <c r="D8">
        <f t="shared" si="0"/>
        <v>0.80499999999999994</v>
      </c>
      <c r="E8">
        <f t="shared" si="1"/>
        <v>6.708333333333333</v>
      </c>
      <c r="F8">
        <f t="shared" si="2"/>
        <v>0.34499999999999997</v>
      </c>
      <c r="G8">
        <v>4.5</v>
      </c>
      <c r="J8">
        <v>18.8</v>
      </c>
    </row>
    <row r="11" spans="1:21">
      <c r="H11" s="23" t="s">
        <v>30</v>
      </c>
      <c r="I11" s="23" t="s">
        <v>31</v>
      </c>
      <c r="J11" s="23" t="s">
        <v>32</v>
      </c>
      <c r="K11" s="23" t="s">
        <v>33</v>
      </c>
      <c r="L11" s="23" t="s">
        <v>34</v>
      </c>
      <c r="M11" s="23" t="s">
        <v>35</v>
      </c>
      <c r="N11" t="s">
        <v>36</v>
      </c>
    </row>
    <row r="12" spans="1:21">
      <c r="G12" t="s">
        <v>37</v>
      </c>
      <c r="H12" s="24">
        <v>20</v>
      </c>
      <c r="I12" s="24">
        <v>15</v>
      </c>
      <c r="J12" s="24">
        <v>25</v>
      </c>
      <c r="K12" s="24">
        <v>10</v>
      </c>
      <c r="L12" s="24">
        <v>20</v>
      </c>
      <c r="M12" s="24">
        <v>5</v>
      </c>
      <c r="N12">
        <v>5</v>
      </c>
      <c r="O12" s="23" t="s">
        <v>30</v>
      </c>
      <c r="P12" s="23" t="s">
        <v>31</v>
      </c>
      <c r="Q12" s="23" t="s">
        <v>32</v>
      </c>
      <c r="R12" s="23" t="s">
        <v>33</v>
      </c>
      <c r="S12" s="23" t="s">
        <v>34</v>
      </c>
      <c r="T12" s="23" t="s">
        <v>35</v>
      </c>
      <c r="U12" t="s">
        <v>36</v>
      </c>
    </row>
    <row r="13" spans="1:21">
      <c r="B13" t="s">
        <v>13</v>
      </c>
      <c r="C13" t="s">
        <v>38</v>
      </c>
      <c r="D13" t="s">
        <v>39</v>
      </c>
      <c r="E13" t="s">
        <v>40</v>
      </c>
      <c r="F13" t="s">
        <v>41</v>
      </c>
      <c r="G13">
        <v>0.25</v>
      </c>
      <c r="H13">
        <f>$H$12/100*G13</f>
        <v>0.05</v>
      </c>
      <c r="I13">
        <f>$I$12/100*G13</f>
        <v>3.7499999999999999E-2</v>
      </c>
      <c r="J13">
        <f>$J$12/100*G13</f>
        <v>6.25E-2</v>
      </c>
      <c r="K13">
        <f>$K$12/100*G13</f>
        <v>2.5000000000000001E-2</v>
      </c>
      <c r="L13">
        <f>$L$12/100*G13</f>
        <v>0.05</v>
      </c>
      <c r="M13">
        <f>$M$12/100*G13</f>
        <v>1.2500000000000001E-2</v>
      </c>
      <c r="N13">
        <f>$N$12/100*G13</f>
        <v>1.2500000000000001E-2</v>
      </c>
      <c r="O13" s="8">
        <f>H13*1000</f>
        <v>50</v>
      </c>
      <c r="P13" s="8">
        <f t="shared" ref="P13:U13" si="3">I13*1000</f>
        <v>37.5</v>
      </c>
      <c r="Q13" s="8">
        <f t="shared" si="3"/>
        <v>62.5</v>
      </c>
      <c r="R13" s="8">
        <f t="shared" si="3"/>
        <v>25</v>
      </c>
      <c r="S13" s="8">
        <f t="shared" si="3"/>
        <v>50</v>
      </c>
      <c r="T13" s="8">
        <f t="shared" si="3"/>
        <v>12.5</v>
      </c>
      <c r="U13" s="8">
        <f t="shared" si="3"/>
        <v>12.5</v>
      </c>
    </row>
    <row r="14" spans="1:21">
      <c r="B14">
        <v>30</v>
      </c>
      <c r="C14">
        <v>0.65</v>
      </c>
      <c r="D14">
        <f t="shared" ref="D14:D19" si="4">0.55*C14</f>
        <v>0.35750000000000004</v>
      </c>
      <c r="E14">
        <f t="shared" ref="E14:E19" si="5">C14-D14</f>
        <v>0.29249999999999998</v>
      </c>
      <c r="F14">
        <f t="shared" ref="F14:F19" si="6">D14/0.12</f>
        <v>2.979166666666667</v>
      </c>
      <c r="G14">
        <f>100/Sheet3!$I$33*E14</f>
        <v>0.33690005874154866</v>
      </c>
      <c r="H14">
        <f t="shared" ref="H14:H19" si="7">$H$12/100*G14</f>
        <v>6.7380011748309737E-2</v>
      </c>
      <c r="I14">
        <f t="shared" ref="I14:I19" si="8">$I$12/100*G14</f>
        <v>5.0535008811232296E-2</v>
      </c>
      <c r="J14">
        <f t="shared" ref="J14:J19" si="9">$J$12/100*G14</f>
        <v>8.4225014685387165E-2</v>
      </c>
      <c r="K14">
        <f t="shared" ref="K14:K19" si="10">$K$12/100*G14</f>
        <v>3.3690005874154869E-2</v>
      </c>
      <c r="L14">
        <f t="shared" ref="L14:L19" si="11">$L$12/100*G14</f>
        <v>6.7380011748309737E-2</v>
      </c>
      <c r="M14">
        <f t="shared" ref="M14:M19" si="12">$M$12/100*G14</f>
        <v>1.6845002937077434E-2</v>
      </c>
      <c r="N14">
        <f t="shared" ref="N14:N19" si="13">$N$12/100*G14</f>
        <v>1.6845002937077434E-2</v>
      </c>
      <c r="O14" s="8">
        <f t="shared" ref="O14:O19" si="14">H14*1000</f>
        <v>67.380011748309741</v>
      </c>
      <c r="P14" s="8">
        <f t="shared" ref="P14:U14" si="15">I14*1000</f>
        <v>50.535008811232295</v>
      </c>
      <c r="Q14" s="8">
        <f t="shared" si="15"/>
        <v>84.225014685387166</v>
      </c>
      <c r="R14" s="8">
        <f t="shared" si="15"/>
        <v>33.69000587415487</v>
      </c>
      <c r="S14" s="8">
        <f t="shared" si="15"/>
        <v>67.380011748309741</v>
      </c>
      <c r="T14" s="8">
        <f t="shared" si="15"/>
        <v>16.845002937077435</v>
      </c>
      <c r="U14" s="8">
        <f t="shared" si="15"/>
        <v>16.845002937077435</v>
      </c>
    </row>
    <row r="15" spans="1:21">
      <c r="B15">
        <v>40</v>
      </c>
      <c r="C15">
        <v>0.75</v>
      </c>
      <c r="D15">
        <f t="shared" si="4"/>
        <v>0.41250000000000003</v>
      </c>
      <c r="E15">
        <f t="shared" si="5"/>
        <v>0.33749999999999997</v>
      </c>
      <c r="F15">
        <f t="shared" si="6"/>
        <v>3.4375000000000004</v>
      </c>
      <c r="G15">
        <f>100/Sheet3!$I$33*E15</f>
        <v>0.38873083700947919</v>
      </c>
      <c r="H15">
        <f t="shared" si="7"/>
        <v>7.7746167401895841E-2</v>
      </c>
      <c r="I15">
        <f t="shared" si="8"/>
        <v>5.8309625551421877E-2</v>
      </c>
      <c r="J15">
        <f t="shared" si="9"/>
        <v>9.7182709252369798E-2</v>
      </c>
      <c r="K15">
        <f t="shared" si="10"/>
        <v>3.887308370094792E-2</v>
      </c>
      <c r="L15">
        <f t="shared" si="11"/>
        <v>7.7746167401895841E-2</v>
      </c>
      <c r="M15">
        <f t="shared" si="12"/>
        <v>1.943654185047396E-2</v>
      </c>
      <c r="N15">
        <f t="shared" si="13"/>
        <v>1.943654185047396E-2</v>
      </c>
      <c r="O15" s="8">
        <f t="shared" si="14"/>
        <v>77.746167401895846</v>
      </c>
      <c r="P15" s="8">
        <f t="shared" ref="P15:U15" si="16">I15*1000</f>
        <v>58.309625551421874</v>
      </c>
      <c r="Q15" s="8">
        <f t="shared" si="16"/>
        <v>97.182709252369804</v>
      </c>
      <c r="R15" s="8">
        <f t="shared" si="16"/>
        <v>38.873083700947923</v>
      </c>
      <c r="S15" s="8">
        <f t="shared" si="16"/>
        <v>77.746167401895846</v>
      </c>
      <c r="T15" s="8">
        <f t="shared" si="16"/>
        <v>19.436541850473962</v>
      </c>
      <c r="U15" s="8">
        <f t="shared" si="16"/>
        <v>19.436541850473962</v>
      </c>
    </row>
    <row r="16" spans="1:21">
      <c r="B16">
        <v>50</v>
      </c>
      <c r="C16">
        <v>0.85</v>
      </c>
      <c r="D16">
        <f t="shared" si="4"/>
        <v>0.46750000000000003</v>
      </c>
      <c r="E16">
        <f t="shared" si="5"/>
        <v>0.38249999999999995</v>
      </c>
      <c r="F16">
        <f t="shared" si="6"/>
        <v>3.8958333333333335</v>
      </c>
      <c r="G16">
        <f>100/Sheet3!$I$33*E16</f>
        <v>0.44056161527740972</v>
      </c>
      <c r="H16">
        <f t="shared" si="7"/>
        <v>8.8112323055481945E-2</v>
      </c>
      <c r="I16">
        <f t="shared" si="8"/>
        <v>6.6084242291611459E-2</v>
      </c>
      <c r="J16">
        <f t="shared" si="9"/>
        <v>0.11014040381935243</v>
      </c>
      <c r="K16">
        <f t="shared" si="10"/>
        <v>4.4056161527740972E-2</v>
      </c>
      <c r="L16">
        <f t="shared" si="11"/>
        <v>8.8112323055481945E-2</v>
      </c>
      <c r="M16">
        <f t="shared" si="12"/>
        <v>2.2028080763870486E-2</v>
      </c>
      <c r="N16">
        <f t="shared" si="13"/>
        <v>2.2028080763870486E-2</v>
      </c>
      <c r="O16" s="8">
        <f t="shared" si="14"/>
        <v>88.112323055481951</v>
      </c>
      <c r="P16" s="8">
        <f t="shared" ref="P16:U16" si="17">I16*1000</f>
        <v>66.08424229161146</v>
      </c>
      <c r="Q16" s="8">
        <f t="shared" si="17"/>
        <v>110.14040381935243</v>
      </c>
      <c r="R16" s="8">
        <f t="shared" si="17"/>
        <v>44.056161527740976</v>
      </c>
      <c r="S16" s="8">
        <f t="shared" si="17"/>
        <v>88.112323055481951</v>
      </c>
      <c r="T16" s="8">
        <f t="shared" si="17"/>
        <v>22.028080763870488</v>
      </c>
      <c r="U16" s="8">
        <f t="shared" si="17"/>
        <v>22.028080763870488</v>
      </c>
    </row>
    <row r="17" spans="2:21">
      <c r="B17">
        <v>60</v>
      </c>
      <c r="C17">
        <v>0.95</v>
      </c>
      <c r="D17">
        <f t="shared" si="4"/>
        <v>0.52249999999999996</v>
      </c>
      <c r="E17">
        <f t="shared" si="5"/>
        <v>0.42749999999999999</v>
      </c>
      <c r="F17">
        <f t="shared" si="6"/>
        <v>4.354166666666667</v>
      </c>
      <c r="G17">
        <f>100/Sheet3!$I$33*E17</f>
        <v>0.49239239354534031</v>
      </c>
      <c r="H17">
        <f t="shared" si="7"/>
        <v>9.8478478709068062E-2</v>
      </c>
      <c r="I17">
        <f t="shared" si="8"/>
        <v>7.3858859031801047E-2</v>
      </c>
      <c r="J17">
        <f t="shared" si="9"/>
        <v>0.12309809838633508</v>
      </c>
      <c r="K17">
        <f t="shared" si="10"/>
        <v>4.9239239354534031E-2</v>
      </c>
      <c r="L17">
        <f t="shared" si="11"/>
        <v>9.8478478709068062E-2</v>
      </c>
      <c r="M17">
        <f t="shared" si="12"/>
        <v>2.4619619677267016E-2</v>
      </c>
      <c r="N17">
        <f t="shared" si="13"/>
        <v>2.4619619677267016E-2</v>
      </c>
      <c r="O17" s="8">
        <f t="shared" si="14"/>
        <v>98.478478709068057</v>
      </c>
      <c r="P17" s="8">
        <f t="shared" ref="P17:U17" si="18">I17*1000</f>
        <v>73.858859031801046</v>
      </c>
      <c r="Q17" s="8">
        <f t="shared" si="18"/>
        <v>123.09809838633508</v>
      </c>
      <c r="R17" s="8">
        <f t="shared" si="18"/>
        <v>49.239239354534028</v>
      </c>
      <c r="S17" s="8">
        <f t="shared" si="18"/>
        <v>98.478478709068057</v>
      </c>
      <c r="T17" s="8">
        <f t="shared" si="18"/>
        <v>24.619619677267014</v>
      </c>
      <c r="U17" s="8">
        <f t="shared" si="18"/>
        <v>24.619619677267014</v>
      </c>
    </row>
    <row r="18" spans="2:21">
      <c r="B18">
        <v>70</v>
      </c>
      <c r="C18">
        <v>1.05</v>
      </c>
      <c r="D18">
        <f t="shared" si="4"/>
        <v>0.57750000000000012</v>
      </c>
      <c r="E18">
        <f t="shared" si="5"/>
        <v>0.47249999999999992</v>
      </c>
      <c r="F18">
        <f t="shared" si="6"/>
        <v>4.8125000000000009</v>
      </c>
      <c r="G18">
        <f>100/Sheet3!$I$33*E18</f>
        <v>0.54422317181327085</v>
      </c>
      <c r="H18">
        <f t="shared" si="7"/>
        <v>0.10884463436265418</v>
      </c>
      <c r="I18">
        <f t="shared" si="8"/>
        <v>8.1633475771990621E-2</v>
      </c>
      <c r="J18">
        <f t="shared" si="9"/>
        <v>0.13605579295331771</v>
      </c>
      <c r="K18">
        <f t="shared" si="10"/>
        <v>5.442231718132709E-2</v>
      </c>
      <c r="L18">
        <f t="shared" si="11"/>
        <v>0.10884463436265418</v>
      </c>
      <c r="M18">
        <f t="shared" si="12"/>
        <v>2.7211158590663545E-2</v>
      </c>
      <c r="N18">
        <f t="shared" si="13"/>
        <v>2.7211158590663545E-2</v>
      </c>
      <c r="O18" s="8">
        <f t="shared" si="14"/>
        <v>108.84463436265418</v>
      </c>
      <c r="P18" s="8">
        <f t="shared" ref="P18:U18" si="19">I18*1000</f>
        <v>81.633475771990618</v>
      </c>
      <c r="Q18" s="8">
        <f t="shared" si="19"/>
        <v>136.05579295331771</v>
      </c>
      <c r="R18" s="8">
        <f t="shared" si="19"/>
        <v>54.422317181327088</v>
      </c>
      <c r="S18" s="8">
        <f t="shared" si="19"/>
        <v>108.84463436265418</v>
      </c>
      <c r="T18" s="8">
        <f t="shared" si="19"/>
        <v>27.211158590663544</v>
      </c>
      <c r="U18" s="8">
        <f t="shared" si="19"/>
        <v>27.211158590663544</v>
      </c>
    </row>
    <row r="19" spans="2:21">
      <c r="B19">
        <v>80</v>
      </c>
      <c r="C19">
        <v>1.1499999999999999</v>
      </c>
      <c r="D19">
        <f t="shared" si="4"/>
        <v>0.63249999999999995</v>
      </c>
      <c r="E19">
        <f t="shared" si="5"/>
        <v>0.51749999999999996</v>
      </c>
      <c r="F19">
        <f t="shared" si="6"/>
        <v>5.270833333333333</v>
      </c>
      <c r="G19">
        <f>100/Sheet3!$I$33*E19</f>
        <v>0.59605395008120143</v>
      </c>
      <c r="H19">
        <f t="shared" si="7"/>
        <v>0.1192107900162403</v>
      </c>
      <c r="I19">
        <f t="shared" si="8"/>
        <v>8.9408092512180209E-2</v>
      </c>
      <c r="J19">
        <f t="shared" si="9"/>
        <v>0.14901348752030036</v>
      </c>
      <c r="K19">
        <f t="shared" si="10"/>
        <v>5.9605395008120149E-2</v>
      </c>
      <c r="L19">
        <f t="shared" si="11"/>
        <v>0.1192107900162403</v>
      </c>
      <c r="M19">
        <f t="shared" si="12"/>
        <v>2.9802697504060074E-2</v>
      </c>
      <c r="N19">
        <f t="shared" si="13"/>
        <v>2.9802697504060074E-2</v>
      </c>
      <c r="O19" s="8">
        <f t="shared" si="14"/>
        <v>119.2107900162403</v>
      </c>
      <c r="P19" s="8">
        <f t="shared" ref="P19:U19" si="20">I19*1000</f>
        <v>89.408092512180204</v>
      </c>
      <c r="Q19" s="8">
        <f t="shared" si="20"/>
        <v>149.01348752030034</v>
      </c>
      <c r="R19" s="8">
        <f t="shared" si="20"/>
        <v>59.605395008120148</v>
      </c>
      <c r="S19" s="8">
        <f t="shared" si="20"/>
        <v>119.2107900162403</v>
      </c>
      <c r="T19" s="8">
        <f t="shared" si="20"/>
        <v>29.802697504060074</v>
      </c>
      <c r="U19" s="8">
        <f t="shared" si="20"/>
        <v>29.802697504060074</v>
      </c>
    </row>
    <row r="21" spans="2:21">
      <c r="D21">
        <f>D14*5.37</f>
        <v>1.9197750000000002</v>
      </c>
      <c r="H21" s="30">
        <v>3.2</v>
      </c>
      <c r="I21" s="4">
        <v>3.2</v>
      </c>
      <c r="J21" s="4">
        <v>3.1</v>
      </c>
      <c r="K21" s="4">
        <v>2.5</v>
      </c>
      <c r="L21" s="30">
        <v>2.8</v>
      </c>
      <c r="M21" s="30">
        <v>2.85</v>
      </c>
    </row>
    <row r="22" spans="2:21">
      <c r="D22">
        <f t="shared" ref="D22:D26" si="21">D15*5.37</f>
        <v>2.215125</v>
      </c>
      <c r="H22">
        <f t="shared" ref="H22:M22" si="22">H21*H13</f>
        <v>0.16000000000000003</v>
      </c>
      <c r="I22">
        <f t="shared" si="22"/>
        <v>0.12</v>
      </c>
      <c r="J22">
        <f t="shared" si="22"/>
        <v>0.19375000000000001</v>
      </c>
      <c r="K22">
        <f t="shared" si="22"/>
        <v>6.25E-2</v>
      </c>
      <c r="L22">
        <f t="shared" si="22"/>
        <v>0.13999999999999999</v>
      </c>
      <c r="M22">
        <f t="shared" si="22"/>
        <v>3.5625000000000004E-2</v>
      </c>
      <c r="N22">
        <f>D22+H22+I22+J22+K22+L22+M22</f>
        <v>2.9270000000000005</v>
      </c>
    </row>
    <row r="23" spans="2:21">
      <c r="D23">
        <f t="shared" si="21"/>
        <v>2.510475</v>
      </c>
      <c r="H23" s="30">
        <v>9.1</v>
      </c>
      <c r="I23" s="4">
        <v>14.4</v>
      </c>
      <c r="J23" s="4">
        <v>48</v>
      </c>
      <c r="K23" s="4">
        <v>39.6</v>
      </c>
      <c r="L23" s="30">
        <v>15.9</v>
      </c>
      <c r="M23" s="30">
        <v>3</v>
      </c>
    </row>
    <row r="24" spans="2:21">
      <c r="D24">
        <f t="shared" si="21"/>
        <v>2.805825</v>
      </c>
    </row>
    <row r="25" spans="2:21">
      <c r="D25">
        <f t="shared" si="21"/>
        <v>3.1011750000000009</v>
      </c>
    </row>
    <row r="26" spans="2:21">
      <c r="D26">
        <f t="shared" si="21"/>
        <v>3.396525</v>
      </c>
    </row>
    <row r="29" spans="2:21">
      <c r="B29" t="s">
        <v>13</v>
      </c>
      <c r="C29" t="s">
        <v>38</v>
      </c>
      <c r="D29" t="s">
        <v>39</v>
      </c>
      <c r="E29" t="s">
        <v>42</v>
      </c>
      <c r="F29" t="s">
        <v>43</v>
      </c>
    </row>
    <row r="30" spans="2:21">
      <c r="B30">
        <v>25</v>
      </c>
      <c r="C30">
        <v>0.6</v>
      </c>
      <c r="D30">
        <f>0.55*C30</f>
        <v>0.33</v>
      </c>
      <c r="E30">
        <f>D30*5.37</f>
        <v>1.7721</v>
      </c>
      <c r="F30">
        <f>25.4/100*D30</f>
        <v>8.3820000000000006E-2</v>
      </c>
    </row>
    <row r="31" spans="2:21">
      <c r="B31">
        <v>30</v>
      </c>
      <c r="C31">
        <v>0.65</v>
      </c>
      <c r="D31">
        <f t="shared" ref="D31:D36" si="23">0.55*C31</f>
        <v>0.35750000000000004</v>
      </c>
      <c r="E31">
        <f t="shared" ref="E31:E36" si="24">D31*5.37</f>
        <v>1.9197750000000002</v>
      </c>
      <c r="F31">
        <f t="shared" ref="F31:F36" si="25">25.4/100*D31</f>
        <v>9.0805000000000011E-2</v>
      </c>
    </row>
    <row r="32" spans="2:21">
      <c r="B32">
        <v>40</v>
      </c>
      <c r="C32">
        <v>0.75</v>
      </c>
      <c r="D32">
        <f t="shared" si="23"/>
        <v>0.41250000000000003</v>
      </c>
      <c r="E32">
        <f t="shared" si="24"/>
        <v>2.215125</v>
      </c>
      <c r="F32">
        <f t="shared" si="25"/>
        <v>0.10477500000000001</v>
      </c>
    </row>
    <row r="33" spans="2:6">
      <c r="B33">
        <v>50</v>
      </c>
      <c r="C33">
        <v>0.85</v>
      </c>
      <c r="D33">
        <f t="shared" si="23"/>
        <v>0.46750000000000003</v>
      </c>
      <c r="E33">
        <f t="shared" si="24"/>
        <v>2.510475</v>
      </c>
      <c r="F33">
        <f t="shared" si="25"/>
        <v>0.118745</v>
      </c>
    </row>
    <row r="34" spans="2:6">
      <c r="B34">
        <v>60</v>
      </c>
      <c r="C34">
        <v>0.95</v>
      </c>
      <c r="D34">
        <f t="shared" si="23"/>
        <v>0.52249999999999996</v>
      </c>
      <c r="E34">
        <f t="shared" si="24"/>
        <v>2.805825</v>
      </c>
      <c r="F34">
        <f t="shared" si="25"/>
        <v>0.132715</v>
      </c>
    </row>
    <row r="35" spans="2:6">
      <c r="B35">
        <v>70</v>
      </c>
      <c r="C35">
        <v>1.05</v>
      </c>
      <c r="D35">
        <f t="shared" si="23"/>
        <v>0.57750000000000012</v>
      </c>
      <c r="E35">
        <f t="shared" si="24"/>
        <v>3.1011750000000009</v>
      </c>
      <c r="F35">
        <f t="shared" si="25"/>
        <v>0.14668500000000004</v>
      </c>
    </row>
    <row r="36" spans="2:6">
      <c r="B36">
        <v>80</v>
      </c>
      <c r="C36">
        <v>1.1499999999999999</v>
      </c>
      <c r="D36">
        <f t="shared" si="23"/>
        <v>0.63249999999999995</v>
      </c>
      <c r="E36">
        <f t="shared" si="24"/>
        <v>3.396525</v>
      </c>
      <c r="F36">
        <f t="shared" si="25"/>
        <v>0.16065499999999999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opLeftCell="C1" workbookViewId="0">
      <selection sqref="A1:Q22"/>
    </sheetView>
  </sheetViews>
  <sheetFormatPr defaultColWidth="9.140625" defaultRowHeight="15"/>
  <cols>
    <col min="7" max="8" width="12.85546875"/>
    <col min="10" max="14" width="12.85546875"/>
  </cols>
  <sheetData>
    <row r="1" spans="1:17">
      <c r="A1" s="29"/>
      <c r="B1" s="29" t="s">
        <v>44</v>
      </c>
      <c r="C1" s="29" t="s">
        <v>45</v>
      </c>
      <c r="D1" s="29" t="s">
        <v>46</v>
      </c>
      <c r="E1" s="29" t="s">
        <v>47</v>
      </c>
      <c r="F1" s="29" t="s">
        <v>48</v>
      </c>
      <c r="G1" s="29"/>
      <c r="H1" s="29" t="s">
        <v>49</v>
      </c>
      <c r="I1" s="29" t="s">
        <v>44</v>
      </c>
      <c r="J1" s="29" t="s">
        <v>45</v>
      </c>
      <c r="K1" s="29" t="s">
        <v>46</v>
      </c>
      <c r="L1" s="29" t="s">
        <v>47</v>
      </c>
      <c r="M1" s="29" t="s">
        <v>48</v>
      </c>
      <c r="N1" s="29" t="s">
        <v>50</v>
      </c>
      <c r="O1" s="29" t="s">
        <v>51</v>
      </c>
      <c r="P1" s="29" t="s">
        <v>52</v>
      </c>
      <c r="Q1" s="29" t="s">
        <v>53</v>
      </c>
    </row>
    <row r="2" spans="1:17">
      <c r="A2" s="23" t="s">
        <v>54</v>
      </c>
      <c r="B2" s="30">
        <v>29.7</v>
      </c>
      <c r="C2" s="30">
        <v>2.2999999999999998</v>
      </c>
      <c r="D2" s="30">
        <v>9.6999999999999993</v>
      </c>
      <c r="E2" s="30">
        <v>58.5</v>
      </c>
      <c r="F2" s="30">
        <v>34.1</v>
      </c>
      <c r="G2" s="30"/>
      <c r="H2" s="24">
        <v>28</v>
      </c>
      <c r="I2" s="4">
        <f t="shared" ref="I2:I21" si="0">B2/100*H2</f>
        <v>8.3159999999999989</v>
      </c>
      <c r="J2" s="4">
        <f t="shared" ref="J2:J21" si="1">C2*I2</f>
        <v>19.126799999999996</v>
      </c>
      <c r="K2" s="4">
        <f t="shared" ref="K2:K21" si="2">D2/100*I2</f>
        <v>0.80665199999999981</v>
      </c>
      <c r="L2" s="4">
        <f t="shared" ref="L2:L21" si="3">E2/100*I2</f>
        <v>4.8648599999999993</v>
      </c>
      <c r="M2" s="4">
        <f t="shared" ref="M2:M21" si="4">F2/100*I2</f>
        <v>2.8357559999999999</v>
      </c>
      <c r="N2" s="4">
        <v>12</v>
      </c>
      <c r="O2" s="4">
        <f t="shared" ref="O2:O19" si="5">N2*H2</f>
        <v>336</v>
      </c>
      <c r="P2" s="4" t="e">
        <f>(H2+H3+#REF!)/H22*100</f>
        <v>#REF!</v>
      </c>
      <c r="Q2" s="4" t="e">
        <f>100-P2</f>
        <v>#REF!</v>
      </c>
    </row>
    <row r="3" spans="1:17">
      <c r="A3" s="23" t="s">
        <v>55</v>
      </c>
      <c r="B3" s="30">
        <v>91</v>
      </c>
      <c r="C3" s="30">
        <v>1.5</v>
      </c>
      <c r="D3" s="30">
        <v>4</v>
      </c>
      <c r="E3" s="30">
        <v>71.8</v>
      </c>
      <c r="F3" s="30">
        <v>43.8</v>
      </c>
      <c r="G3" s="30"/>
      <c r="H3" s="24">
        <v>1.5</v>
      </c>
      <c r="I3" s="4">
        <f t="shared" si="0"/>
        <v>1.365</v>
      </c>
      <c r="J3" s="4">
        <f t="shared" si="1"/>
        <v>2.0474999999999999</v>
      </c>
      <c r="K3" s="4">
        <f t="shared" si="2"/>
        <v>5.4600000000000003E-2</v>
      </c>
      <c r="L3" s="4">
        <f t="shared" si="3"/>
        <v>0.98007</v>
      </c>
      <c r="M3" s="4">
        <f t="shared" si="4"/>
        <v>0.5978699999999999</v>
      </c>
      <c r="N3" s="4">
        <v>17</v>
      </c>
      <c r="O3" s="4">
        <f t="shared" si="5"/>
        <v>25.5</v>
      </c>
      <c r="P3" s="4"/>
      <c r="Q3" s="4"/>
    </row>
    <row r="4" spans="1:17">
      <c r="A4" s="23" t="s">
        <v>56</v>
      </c>
      <c r="B4" s="30">
        <v>23.3</v>
      </c>
      <c r="C4" s="30">
        <v>2.2000000000000002</v>
      </c>
      <c r="D4" s="30">
        <v>8.9</v>
      </c>
      <c r="E4" s="30">
        <v>59.5</v>
      </c>
      <c r="F4" s="30">
        <v>35</v>
      </c>
      <c r="G4" s="30"/>
      <c r="H4" s="24">
        <v>10</v>
      </c>
      <c r="I4" s="4">
        <f t="shared" si="0"/>
        <v>2.33</v>
      </c>
      <c r="J4" s="4">
        <f t="shared" si="1"/>
        <v>5.1260000000000003</v>
      </c>
      <c r="K4" s="4">
        <f t="shared" si="2"/>
        <v>0.20737000000000003</v>
      </c>
      <c r="L4" s="4">
        <f t="shared" si="3"/>
        <v>1.38635</v>
      </c>
      <c r="M4" s="4">
        <f t="shared" si="4"/>
        <v>0.8155</v>
      </c>
      <c r="N4" s="4">
        <v>5</v>
      </c>
      <c r="O4" s="4">
        <f t="shared" si="5"/>
        <v>50</v>
      </c>
      <c r="P4" s="4"/>
      <c r="Q4" s="4"/>
    </row>
    <row r="5" spans="1:17">
      <c r="A5" s="23" t="s">
        <v>30</v>
      </c>
      <c r="B5" s="30">
        <v>87.3</v>
      </c>
      <c r="C5" s="30">
        <v>3.2</v>
      </c>
      <c r="D5" s="30">
        <v>9.1</v>
      </c>
      <c r="E5" s="30">
        <v>10.6</v>
      </c>
      <c r="F5" s="30">
        <v>2.7</v>
      </c>
      <c r="G5" s="30"/>
      <c r="H5" s="24">
        <v>3</v>
      </c>
      <c r="I5" s="4">
        <f t="shared" si="0"/>
        <v>2.6189999999999998</v>
      </c>
      <c r="J5" s="4">
        <f t="shared" si="1"/>
        <v>8.3807999999999989</v>
      </c>
      <c r="K5" s="4">
        <f t="shared" si="2"/>
        <v>0.23832899999999999</v>
      </c>
      <c r="L5" s="4">
        <f t="shared" si="3"/>
        <v>0.27761399999999997</v>
      </c>
      <c r="M5" s="4">
        <f t="shared" si="4"/>
        <v>7.0712999999999998E-2</v>
      </c>
      <c r="N5" s="4">
        <v>70</v>
      </c>
      <c r="O5" s="4">
        <f t="shared" si="5"/>
        <v>210</v>
      </c>
      <c r="P5" s="4"/>
      <c r="Q5" s="4"/>
    </row>
    <row r="6" spans="1:17">
      <c r="A6" s="23" t="s">
        <v>57</v>
      </c>
      <c r="B6" s="30">
        <v>89.1</v>
      </c>
      <c r="C6" s="30">
        <v>2.2000000000000002</v>
      </c>
      <c r="D6" s="30">
        <v>17</v>
      </c>
      <c r="E6" s="30">
        <v>57</v>
      </c>
      <c r="F6" s="30">
        <v>37</v>
      </c>
      <c r="G6" s="30"/>
      <c r="H6" s="24">
        <v>0.75</v>
      </c>
      <c r="I6" s="4">
        <f t="shared" si="0"/>
        <v>0.6682499999999999</v>
      </c>
      <c r="J6" s="4">
        <f t="shared" si="1"/>
        <v>1.4701499999999998</v>
      </c>
      <c r="K6" s="4">
        <f t="shared" si="2"/>
        <v>0.1136025</v>
      </c>
      <c r="L6" s="4">
        <f t="shared" si="3"/>
        <v>0.38090249999999992</v>
      </c>
      <c r="M6" s="4">
        <f t="shared" si="4"/>
        <v>0.24725249999999996</v>
      </c>
      <c r="N6" s="4">
        <v>80</v>
      </c>
      <c r="O6" s="4">
        <f t="shared" si="5"/>
        <v>60</v>
      </c>
      <c r="P6" s="4"/>
      <c r="Q6" s="4"/>
    </row>
    <row r="7" spans="1:17">
      <c r="A7" s="23" t="s">
        <v>33</v>
      </c>
      <c r="B7" s="30">
        <v>88.8</v>
      </c>
      <c r="C7" s="30">
        <v>2.5</v>
      </c>
      <c r="D7" s="30">
        <v>39.6</v>
      </c>
      <c r="E7" s="30">
        <v>31.2</v>
      </c>
      <c r="F7" s="30">
        <v>19.7</v>
      </c>
      <c r="G7" s="30"/>
      <c r="H7" s="24">
        <v>1.5</v>
      </c>
      <c r="I7" s="4">
        <f t="shared" si="0"/>
        <v>1.3320000000000001</v>
      </c>
      <c r="J7" s="4">
        <f t="shared" si="1"/>
        <v>3.33</v>
      </c>
      <c r="K7" s="4">
        <f t="shared" si="2"/>
        <v>0.52747200000000005</v>
      </c>
      <c r="L7" s="4">
        <f t="shared" si="3"/>
        <v>0.41558400000000001</v>
      </c>
      <c r="M7" s="4">
        <f t="shared" si="4"/>
        <v>0.26240399999999997</v>
      </c>
      <c r="N7" s="4">
        <v>194</v>
      </c>
      <c r="O7" s="4">
        <f t="shared" si="5"/>
        <v>291</v>
      </c>
      <c r="P7" s="4"/>
      <c r="Q7" s="4"/>
    </row>
    <row r="8" spans="1:17">
      <c r="A8" s="23" t="s">
        <v>58</v>
      </c>
      <c r="B8" s="30">
        <v>90</v>
      </c>
      <c r="C8" s="30">
        <v>2.8</v>
      </c>
      <c r="D8" s="30">
        <v>59.7</v>
      </c>
      <c r="E8" s="30">
        <v>18</v>
      </c>
      <c r="F8" s="30">
        <v>9</v>
      </c>
      <c r="G8" s="30"/>
      <c r="H8" s="24">
        <v>0.25</v>
      </c>
      <c r="I8" s="4">
        <f t="shared" si="0"/>
        <v>0.22500000000000001</v>
      </c>
      <c r="J8" s="4">
        <f t="shared" si="1"/>
        <v>0.63</v>
      </c>
      <c r="K8" s="4">
        <f t="shared" si="2"/>
        <v>0.134325</v>
      </c>
      <c r="L8" s="4">
        <f t="shared" si="3"/>
        <v>4.0500000000000001E-2</v>
      </c>
      <c r="M8" s="4">
        <f t="shared" si="4"/>
        <v>2.0250000000000001E-2</v>
      </c>
      <c r="N8" s="4">
        <v>100</v>
      </c>
      <c r="O8" s="4">
        <f t="shared" si="5"/>
        <v>25</v>
      </c>
      <c r="P8" s="4"/>
      <c r="Q8" s="4"/>
    </row>
    <row r="9" spans="1:17">
      <c r="A9" s="23" t="s">
        <v>59</v>
      </c>
      <c r="B9" s="30">
        <v>89.9</v>
      </c>
      <c r="C9" s="30">
        <v>2.7</v>
      </c>
      <c r="D9" s="30">
        <v>39</v>
      </c>
      <c r="E9" s="30">
        <v>25.5</v>
      </c>
      <c r="F9" s="30">
        <v>16.7</v>
      </c>
      <c r="G9" s="30"/>
      <c r="H9" s="24">
        <v>0</v>
      </c>
      <c r="I9" s="4">
        <f t="shared" si="0"/>
        <v>0</v>
      </c>
      <c r="J9" s="4">
        <f t="shared" si="1"/>
        <v>0</v>
      </c>
      <c r="K9" s="4">
        <f t="shared" si="2"/>
        <v>0</v>
      </c>
      <c r="L9" s="4">
        <f t="shared" si="3"/>
        <v>0</v>
      </c>
      <c r="M9" s="4">
        <f t="shared" si="4"/>
        <v>0</v>
      </c>
      <c r="N9" s="4">
        <v>115</v>
      </c>
      <c r="O9" s="4">
        <f t="shared" si="5"/>
        <v>0</v>
      </c>
      <c r="P9" s="4"/>
      <c r="Q9" s="4"/>
    </row>
    <row r="10" spans="1:17">
      <c r="A10" s="23" t="s">
        <v>34</v>
      </c>
      <c r="B10" s="30">
        <v>87</v>
      </c>
      <c r="C10" s="30">
        <v>2.8</v>
      </c>
      <c r="D10" s="30">
        <v>15.9</v>
      </c>
      <c r="E10" s="30">
        <v>39.799999999999997</v>
      </c>
      <c r="F10" s="30">
        <v>12.6</v>
      </c>
      <c r="G10" s="30"/>
      <c r="H10" s="24">
        <v>0.5</v>
      </c>
      <c r="I10" s="4">
        <f t="shared" si="0"/>
        <v>0.435</v>
      </c>
      <c r="J10" s="4">
        <f t="shared" si="1"/>
        <v>1.218</v>
      </c>
      <c r="K10" s="4">
        <f t="shared" si="2"/>
        <v>6.9165000000000004E-2</v>
      </c>
      <c r="L10" s="4">
        <f t="shared" si="3"/>
        <v>0.17312999999999998</v>
      </c>
      <c r="M10" s="4">
        <f t="shared" si="4"/>
        <v>5.4809999999999998E-2</v>
      </c>
      <c r="N10" s="4">
        <v>65</v>
      </c>
      <c r="O10" s="4">
        <f t="shared" si="5"/>
        <v>32.5</v>
      </c>
      <c r="P10" s="4"/>
      <c r="Q10" s="4"/>
    </row>
    <row r="11" spans="1:17">
      <c r="A11" s="23" t="s">
        <v>60</v>
      </c>
      <c r="B11" s="30">
        <v>91.2</v>
      </c>
      <c r="C11" s="30">
        <v>2.2000000000000002</v>
      </c>
      <c r="D11" s="30">
        <v>17.8</v>
      </c>
      <c r="E11" s="30">
        <v>57</v>
      </c>
      <c r="F11" s="30">
        <v>37.6</v>
      </c>
      <c r="G11" s="30"/>
      <c r="H11" s="24">
        <v>0.75</v>
      </c>
      <c r="I11" s="4">
        <f t="shared" si="0"/>
        <v>0.68400000000000005</v>
      </c>
      <c r="J11" s="4">
        <f t="shared" si="1"/>
        <v>1.5048000000000001</v>
      </c>
      <c r="K11" s="4">
        <f t="shared" si="2"/>
        <v>0.12175200000000003</v>
      </c>
      <c r="L11" s="4">
        <f t="shared" si="3"/>
        <v>0.38988</v>
      </c>
      <c r="M11" s="4">
        <f t="shared" si="4"/>
        <v>0.25718400000000002</v>
      </c>
      <c r="N11" s="4">
        <v>90</v>
      </c>
      <c r="O11" s="4">
        <f t="shared" si="5"/>
        <v>67.5</v>
      </c>
      <c r="P11" s="4"/>
      <c r="Q11" s="4"/>
    </row>
    <row r="12" spans="1:17">
      <c r="A12" s="23" t="s">
        <v>35</v>
      </c>
      <c r="B12" s="30">
        <v>74</v>
      </c>
      <c r="C12" s="30">
        <v>2.85</v>
      </c>
      <c r="D12" s="30">
        <v>3</v>
      </c>
      <c r="E12" s="30">
        <v>0</v>
      </c>
      <c r="F12" s="30">
        <v>0</v>
      </c>
      <c r="G12" s="30"/>
      <c r="H12" s="24">
        <v>1</v>
      </c>
      <c r="I12" s="4">
        <f t="shared" si="0"/>
        <v>0.74</v>
      </c>
      <c r="J12" s="4">
        <f t="shared" si="1"/>
        <v>2.109</v>
      </c>
      <c r="K12" s="4">
        <f t="shared" si="2"/>
        <v>2.2199999999999998E-2</v>
      </c>
      <c r="L12" s="4">
        <f t="shared" si="3"/>
        <v>0</v>
      </c>
      <c r="M12" s="4">
        <f t="shared" si="4"/>
        <v>0</v>
      </c>
      <c r="N12" s="4">
        <v>50</v>
      </c>
      <c r="O12" s="4">
        <f t="shared" si="5"/>
        <v>50</v>
      </c>
      <c r="P12" s="4"/>
      <c r="Q12" s="4"/>
    </row>
    <row r="13" spans="1:17">
      <c r="A13" s="31" t="s">
        <v>61</v>
      </c>
      <c r="B13" s="30">
        <v>98</v>
      </c>
      <c r="C13" s="30">
        <v>0</v>
      </c>
      <c r="D13" s="30">
        <v>280</v>
      </c>
      <c r="E13" s="30">
        <v>0</v>
      </c>
      <c r="F13" s="30">
        <v>0</v>
      </c>
      <c r="G13" s="30"/>
      <c r="H13" s="24">
        <v>0.04</v>
      </c>
      <c r="I13" s="4">
        <f t="shared" si="0"/>
        <v>3.9199999999999999E-2</v>
      </c>
      <c r="J13" s="4">
        <f t="shared" si="1"/>
        <v>0</v>
      </c>
      <c r="K13" s="4">
        <f t="shared" si="2"/>
        <v>0.10975999999999998</v>
      </c>
      <c r="L13" s="4">
        <f t="shared" si="3"/>
        <v>0</v>
      </c>
      <c r="M13" s="4">
        <f t="shared" si="4"/>
        <v>0</v>
      </c>
      <c r="N13" s="4">
        <v>48</v>
      </c>
      <c r="O13" s="4">
        <f t="shared" si="5"/>
        <v>1.92</v>
      </c>
      <c r="P13" s="4"/>
      <c r="Q13" s="4"/>
    </row>
    <row r="14" spans="1:17">
      <c r="A14" s="31" t="s">
        <v>62</v>
      </c>
      <c r="B14" s="30">
        <v>90</v>
      </c>
      <c r="C14" s="30">
        <v>0</v>
      </c>
      <c r="D14" s="30">
        <v>0</v>
      </c>
      <c r="E14" s="30">
        <v>0</v>
      </c>
      <c r="F14" s="30">
        <v>0</v>
      </c>
      <c r="G14" s="30"/>
      <c r="H14" s="24">
        <v>0.03</v>
      </c>
      <c r="I14" s="4">
        <f t="shared" si="0"/>
        <v>2.7E-2</v>
      </c>
      <c r="J14" s="4">
        <f t="shared" si="1"/>
        <v>0</v>
      </c>
      <c r="K14" s="4">
        <f t="shared" si="2"/>
        <v>0</v>
      </c>
      <c r="L14" s="4">
        <f t="shared" si="3"/>
        <v>0</v>
      </c>
      <c r="M14" s="4">
        <f t="shared" si="4"/>
        <v>0</v>
      </c>
      <c r="N14" s="4">
        <v>660</v>
      </c>
      <c r="O14" s="4">
        <f t="shared" si="5"/>
        <v>19.8</v>
      </c>
      <c r="P14" s="4"/>
      <c r="Q14" s="4"/>
    </row>
    <row r="15" spans="1:17">
      <c r="A15" s="31" t="s">
        <v>63</v>
      </c>
      <c r="B15" s="30">
        <v>90</v>
      </c>
      <c r="C15" s="30">
        <v>0</v>
      </c>
      <c r="D15" s="30">
        <v>0</v>
      </c>
      <c r="E15" s="30">
        <v>0</v>
      </c>
      <c r="F15" s="30">
        <v>0</v>
      </c>
      <c r="G15" s="30"/>
      <c r="H15" s="24">
        <v>0.1</v>
      </c>
      <c r="I15" s="4">
        <f t="shared" si="0"/>
        <v>9.0000000000000011E-2</v>
      </c>
      <c r="J15" s="4">
        <f t="shared" si="1"/>
        <v>0</v>
      </c>
      <c r="K15" s="4">
        <f t="shared" si="2"/>
        <v>0</v>
      </c>
      <c r="L15" s="4">
        <f t="shared" si="3"/>
        <v>0</v>
      </c>
      <c r="M15" s="4">
        <f t="shared" si="4"/>
        <v>0</v>
      </c>
      <c r="N15" s="4">
        <v>470</v>
      </c>
      <c r="O15" s="4">
        <f t="shared" si="5"/>
        <v>47</v>
      </c>
      <c r="P15" s="4"/>
      <c r="Q15" s="4"/>
    </row>
    <row r="16" spans="1:17">
      <c r="A16" s="31" t="s">
        <v>64</v>
      </c>
      <c r="B16" s="30">
        <v>90</v>
      </c>
      <c r="C16" s="30">
        <v>0</v>
      </c>
      <c r="D16" s="30">
        <v>0</v>
      </c>
      <c r="E16" s="30">
        <v>0</v>
      </c>
      <c r="F16" s="30">
        <v>0</v>
      </c>
      <c r="G16" s="30"/>
      <c r="H16" s="24">
        <v>0.05</v>
      </c>
      <c r="I16" s="4">
        <f t="shared" si="0"/>
        <v>4.5000000000000005E-2</v>
      </c>
      <c r="J16" s="4">
        <f t="shared" si="1"/>
        <v>0</v>
      </c>
      <c r="K16" s="4">
        <f t="shared" si="2"/>
        <v>0</v>
      </c>
      <c r="L16" s="4">
        <f t="shared" si="3"/>
        <v>0</v>
      </c>
      <c r="M16" s="4">
        <f t="shared" si="4"/>
        <v>0</v>
      </c>
      <c r="N16" s="4">
        <v>650</v>
      </c>
      <c r="O16" s="4">
        <f t="shared" si="5"/>
        <v>32.5</v>
      </c>
      <c r="P16" s="4"/>
      <c r="Q16" s="4"/>
    </row>
    <row r="17" spans="1:17">
      <c r="A17" s="31" t="s">
        <v>65</v>
      </c>
      <c r="B17" s="30">
        <v>90</v>
      </c>
      <c r="C17" s="30">
        <v>0</v>
      </c>
      <c r="D17" s="30">
        <v>0</v>
      </c>
      <c r="E17" s="30">
        <v>0</v>
      </c>
      <c r="F17" s="30">
        <v>0</v>
      </c>
      <c r="G17" s="30"/>
      <c r="H17" s="24">
        <v>0.1</v>
      </c>
      <c r="I17" s="4">
        <f t="shared" si="0"/>
        <v>9.0000000000000011E-2</v>
      </c>
      <c r="J17" s="4">
        <f t="shared" si="1"/>
        <v>0</v>
      </c>
      <c r="K17" s="4">
        <f t="shared" si="2"/>
        <v>0</v>
      </c>
      <c r="L17" s="4">
        <f t="shared" si="3"/>
        <v>0</v>
      </c>
      <c r="M17" s="4">
        <f t="shared" si="4"/>
        <v>0</v>
      </c>
      <c r="N17" s="4">
        <v>180</v>
      </c>
      <c r="O17" s="4">
        <f t="shared" si="5"/>
        <v>18</v>
      </c>
      <c r="P17" s="4"/>
      <c r="Q17" s="4"/>
    </row>
    <row r="18" spans="1:17">
      <c r="A18" s="31" t="s">
        <v>66</v>
      </c>
      <c r="B18" s="30">
        <v>90</v>
      </c>
      <c r="C18" s="30">
        <v>0</v>
      </c>
      <c r="D18" s="30">
        <v>0</v>
      </c>
      <c r="E18" s="30">
        <v>0</v>
      </c>
      <c r="F18" s="30">
        <v>0</v>
      </c>
      <c r="G18" s="30"/>
      <c r="H18" s="24">
        <v>0.1</v>
      </c>
      <c r="I18" s="4">
        <f t="shared" si="0"/>
        <v>9.0000000000000011E-2</v>
      </c>
      <c r="J18" s="4">
        <f t="shared" si="1"/>
        <v>0</v>
      </c>
      <c r="K18" s="4">
        <f t="shared" si="2"/>
        <v>0</v>
      </c>
      <c r="L18" s="4">
        <f t="shared" si="3"/>
        <v>0</v>
      </c>
      <c r="M18" s="4">
        <f t="shared" si="4"/>
        <v>0</v>
      </c>
      <c r="N18" s="4">
        <v>12</v>
      </c>
      <c r="O18" s="4">
        <f t="shared" si="5"/>
        <v>1.2000000000000002</v>
      </c>
      <c r="P18" s="4"/>
      <c r="Q18" s="4"/>
    </row>
    <row r="19" spans="1:17">
      <c r="A19" s="31" t="s">
        <v>67</v>
      </c>
      <c r="B19" s="30">
        <v>90</v>
      </c>
      <c r="C19" s="30">
        <v>0</v>
      </c>
      <c r="D19" s="30">
        <v>0</v>
      </c>
      <c r="E19" s="30">
        <v>0</v>
      </c>
      <c r="F19" s="30">
        <v>0</v>
      </c>
      <c r="G19" s="30"/>
      <c r="H19" s="24">
        <v>0.01</v>
      </c>
      <c r="I19" s="4">
        <f t="shared" si="0"/>
        <v>9.0000000000000011E-3</v>
      </c>
      <c r="J19" s="4">
        <f t="shared" si="1"/>
        <v>0</v>
      </c>
      <c r="K19" s="4">
        <f t="shared" si="2"/>
        <v>0</v>
      </c>
      <c r="L19" s="4">
        <f t="shared" si="3"/>
        <v>0</v>
      </c>
      <c r="M19" s="4">
        <f t="shared" si="4"/>
        <v>0</v>
      </c>
      <c r="N19" s="4">
        <v>12</v>
      </c>
      <c r="O19" s="4">
        <f t="shared" si="5"/>
        <v>0.12</v>
      </c>
      <c r="P19" s="4"/>
      <c r="Q19" s="4"/>
    </row>
    <row r="20" spans="1:17">
      <c r="A20" s="31" t="s">
        <v>68</v>
      </c>
      <c r="B20" s="30">
        <v>90</v>
      </c>
      <c r="C20" s="30">
        <v>0</v>
      </c>
      <c r="D20" s="30">
        <v>0</v>
      </c>
      <c r="E20" s="30">
        <v>0</v>
      </c>
      <c r="F20" s="30">
        <v>0</v>
      </c>
      <c r="G20" s="30"/>
      <c r="H20" s="24">
        <v>0.08</v>
      </c>
      <c r="I20" s="4">
        <f t="shared" si="0"/>
        <v>7.2000000000000008E-2</v>
      </c>
      <c r="J20" s="4">
        <f t="shared" si="1"/>
        <v>0</v>
      </c>
      <c r="K20" s="4">
        <f t="shared" si="2"/>
        <v>0</v>
      </c>
      <c r="L20" s="4">
        <f t="shared" si="3"/>
        <v>0</v>
      </c>
      <c r="M20" s="4">
        <f t="shared" si="4"/>
        <v>0</v>
      </c>
      <c r="N20" s="4"/>
      <c r="O20" s="4"/>
      <c r="P20" s="4"/>
      <c r="Q20" s="4"/>
    </row>
    <row r="21" spans="1:17">
      <c r="A21" s="31" t="s">
        <v>69</v>
      </c>
      <c r="B21" s="30">
        <v>90</v>
      </c>
      <c r="C21" s="30">
        <v>0</v>
      </c>
      <c r="D21" s="30">
        <v>0</v>
      </c>
      <c r="E21" s="30">
        <v>0</v>
      </c>
      <c r="F21" s="30">
        <v>0</v>
      </c>
      <c r="G21" s="30"/>
      <c r="H21" s="24">
        <v>0.1</v>
      </c>
      <c r="I21" s="4">
        <f t="shared" si="0"/>
        <v>9.0000000000000011E-2</v>
      </c>
      <c r="J21" s="4">
        <f t="shared" si="1"/>
        <v>0</v>
      </c>
      <c r="K21" s="4">
        <f t="shared" si="2"/>
        <v>0</v>
      </c>
      <c r="L21" s="4">
        <f t="shared" si="3"/>
        <v>0</v>
      </c>
      <c r="M21" s="4">
        <f t="shared" si="4"/>
        <v>0</v>
      </c>
      <c r="N21" s="4">
        <v>124</v>
      </c>
      <c r="O21" s="4">
        <f>N21*H21</f>
        <v>12.4</v>
      </c>
      <c r="P21" s="4"/>
      <c r="Q21" s="4"/>
    </row>
    <row r="22" spans="1:17">
      <c r="A22" s="32"/>
      <c r="B22" s="30"/>
      <c r="C22" s="30"/>
      <c r="D22" s="30"/>
      <c r="E22" s="30"/>
      <c r="F22" s="30"/>
      <c r="G22" s="30"/>
      <c r="H22" s="30">
        <f t="shared" ref="H22:O22" si="6">SUM(H2:H21)</f>
        <v>47.86</v>
      </c>
      <c r="I22" s="3">
        <f t="shared" si="6"/>
        <v>19.266450000000003</v>
      </c>
      <c r="J22" s="3">
        <f t="shared" si="6"/>
        <v>44.943049999999992</v>
      </c>
      <c r="K22" s="3">
        <f t="shared" si="6"/>
        <v>2.4052275000000001</v>
      </c>
      <c r="L22" s="3">
        <f t="shared" si="6"/>
        <v>8.9088905</v>
      </c>
      <c r="M22" s="3">
        <f t="shared" si="6"/>
        <v>5.1617394999999986</v>
      </c>
      <c r="N22" s="3">
        <f t="shared" si="6"/>
        <v>2954</v>
      </c>
      <c r="O22" s="3">
        <f t="shared" si="6"/>
        <v>1280.44</v>
      </c>
      <c r="P22" s="4"/>
      <c r="Q22" s="3">
        <f>O22/23</f>
        <v>55.671304347826087</v>
      </c>
    </row>
    <row r="25" spans="1:17">
      <c r="B25" s="29" t="s">
        <v>44</v>
      </c>
      <c r="C25" s="29" t="s">
        <v>45</v>
      </c>
      <c r="D25" s="29" t="s">
        <v>46</v>
      </c>
      <c r="E25" s="29" t="s">
        <v>47</v>
      </c>
      <c r="F25" s="29" t="s">
        <v>48</v>
      </c>
      <c r="G25" s="29" t="s">
        <v>70</v>
      </c>
      <c r="H25" s="29" t="s">
        <v>49</v>
      </c>
      <c r="I25" s="29" t="s">
        <v>44</v>
      </c>
      <c r="J25" s="29" t="s">
        <v>45</v>
      </c>
      <c r="K25" s="29" t="s">
        <v>46</v>
      </c>
      <c r="L25" s="29" t="s">
        <v>47</v>
      </c>
      <c r="M25" s="29" t="s">
        <v>48</v>
      </c>
      <c r="N25" s="29" t="s">
        <v>70</v>
      </c>
    </row>
    <row r="26" spans="1:17">
      <c r="A26" s="23" t="s">
        <v>30</v>
      </c>
      <c r="B26" s="30">
        <v>87.3</v>
      </c>
      <c r="C26" s="30">
        <v>3.2</v>
      </c>
      <c r="D26" s="30">
        <v>9.1</v>
      </c>
      <c r="E26" s="30">
        <v>10.6</v>
      </c>
      <c r="F26" s="30">
        <v>2.7</v>
      </c>
      <c r="G26" s="30">
        <v>73.400000000000006</v>
      </c>
      <c r="H26" s="24">
        <v>22</v>
      </c>
      <c r="I26" s="4">
        <f t="shared" ref="I26:I31" si="7">B26/100*H26</f>
        <v>19.206</v>
      </c>
      <c r="J26" s="4">
        <f t="shared" ref="J26:J31" si="8">C26*I26</f>
        <v>61.459200000000003</v>
      </c>
      <c r="K26" s="4">
        <f t="shared" ref="K26:K31" si="9">D26/100*I26</f>
        <v>1.7477459999999998</v>
      </c>
      <c r="L26" s="4">
        <f t="shared" ref="L26:L31" si="10">E26/100*I26</f>
        <v>2.0358359999999998</v>
      </c>
      <c r="M26" s="4">
        <f t="shared" ref="M26:M31" si="11">F26/100*I26</f>
        <v>0.51856200000000008</v>
      </c>
      <c r="N26" s="4">
        <f t="shared" ref="N26:N31" si="12">G26/100*I26</f>
        <v>14.097204000000001</v>
      </c>
    </row>
    <row r="27" spans="1:17">
      <c r="A27" s="23" t="s">
        <v>31</v>
      </c>
      <c r="B27" s="4">
        <v>87</v>
      </c>
      <c r="C27" s="4">
        <v>3.2</v>
      </c>
      <c r="D27" s="4">
        <v>14.4</v>
      </c>
      <c r="E27" s="4">
        <v>16.899999999999999</v>
      </c>
      <c r="F27" s="4">
        <v>4.7</v>
      </c>
      <c r="G27" s="30">
        <v>69.099999999999994</v>
      </c>
      <c r="H27" s="24">
        <v>15</v>
      </c>
      <c r="I27" s="4">
        <f t="shared" si="7"/>
        <v>13.05</v>
      </c>
      <c r="J27" s="4">
        <f t="shared" si="8"/>
        <v>41.760000000000005</v>
      </c>
      <c r="K27" s="4">
        <f t="shared" si="9"/>
        <v>1.8792000000000004</v>
      </c>
      <c r="L27" s="4">
        <f t="shared" si="10"/>
        <v>2.2054499999999999</v>
      </c>
      <c r="M27" s="4">
        <f t="shared" si="11"/>
        <v>0.61335000000000006</v>
      </c>
      <c r="N27" s="4">
        <f t="shared" si="12"/>
        <v>9.01755</v>
      </c>
    </row>
    <row r="28" spans="1:17">
      <c r="A28" s="23" t="s">
        <v>32</v>
      </c>
      <c r="B28" s="4">
        <v>87.9</v>
      </c>
      <c r="C28" s="4">
        <v>3.1</v>
      </c>
      <c r="D28" s="4">
        <v>48</v>
      </c>
      <c r="E28" s="4">
        <v>16.600000000000001</v>
      </c>
      <c r="F28" s="4">
        <v>7</v>
      </c>
      <c r="G28" s="4">
        <v>6.3</v>
      </c>
      <c r="H28" s="24">
        <v>25</v>
      </c>
      <c r="I28" s="4">
        <f t="shared" si="7"/>
        <v>21.975000000000001</v>
      </c>
      <c r="J28" s="4">
        <f t="shared" si="8"/>
        <v>68.122500000000002</v>
      </c>
      <c r="K28" s="4">
        <f t="shared" si="9"/>
        <v>10.548</v>
      </c>
      <c r="L28" s="4">
        <f t="shared" si="10"/>
        <v>3.6478500000000005</v>
      </c>
      <c r="M28" s="4">
        <f t="shared" si="11"/>
        <v>1.5382500000000003</v>
      </c>
      <c r="N28" s="4">
        <f t="shared" si="12"/>
        <v>1.384425</v>
      </c>
    </row>
    <row r="29" spans="1:17">
      <c r="A29" s="23" t="s">
        <v>33</v>
      </c>
      <c r="B29" s="4">
        <v>88.8</v>
      </c>
      <c r="C29" s="4">
        <v>2.5</v>
      </c>
      <c r="D29" s="4">
        <v>39.6</v>
      </c>
      <c r="E29" s="4">
        <v>31.2</v>
      </c>
      <c r="F29" s="4">
        <v>19.7</v>
      </c>
      <c r="G29" s="4">
        <v>6</v>
      </c>
      <c r="H29" s="24">
        <v>10</v>
      </c>
      <c r="I29" s="4">
        <f t="shared" si="7"/>
        <v>8.8800000000000008</v>
      </c>
      <c r="J29" s="4">
        <f t="shared" si="8"/>
        <v>22.200000000000003</v>
      </c>
      <c r="K29" s="4">
        <f t="shared" si="9"/>
        <v>3.5164800000000005</v>
      </c>
      <c r="L29" s="4">
        <f t="shared" si="10"/>
        <v>2.7705600000000001</v>
      </c>
      <c r="M29" s="4">
        <f t="shared" si="11"/>
        <v>1.74936</v>
      </c>
      <c r="N29" s="4">
        <f t="shared" si="12"/>
        <v>0.53280000000000005</v>
      </c>
    </row>
    <row r="30" spans="1:17">
      <c r="A30" s="23" t="s">
        <v>34</v>
      </c>
      <c r="B30" s="30">
        <v>87</v>
      </c>
      <c r="C30" s="30">
        <v>2.8</v>
      </c>
      <c r="D30" s="30">
        <v>15.9</v>
      </c>
      <c r="E30" s="30">
        <v>39.799999999999997</v>
      </c>
      <c r="F30" s="30">
        <v>12.6</v>
      </c>
      <c r="G30" s="30">
        <v>23.1</v>
      </c>
      <c r="H30" s="24">
        <v>23</v>
      </c>
      <c r="I30" s="4">
        <f t="shared" si="7"/>
        <v>20.010000000000002</v>
      </c>
      <c r="J30" s="4">
        <f t="shared" si="8"/>
        <v>56.027999999999999</v>
      </c>
      <c r="K30" s="4">
        <f t="shared" si="9"/>
        <v>3.1815900000000004</v>
      </c>
      <c r="L30" s="4">
        <f t="shared" si="10"/>
        <v>7.9639800000000003</v>
      </c>
      <c r="M30" s="4">
        <f t="shared" si="11"/>
        <v>2.5212600000000003</v>
      </c>
      <c r="N30" s="4">
        <f t="shared" si="12"/>
        <v>4.6223100000000006</v>
      </c>
    </row>
    <row r="31" spans="1:17">
      <c r="A31" s="23" t="s">
        <v>35</v>
      </c>
      <c r="B31" s="30">
        <v>74</v>
      </c>
      <c r="C31" s="30">
        <v>2.85</v>
      </c>
      <c r="D31" s="30">
        <v>3</v>
      </c>
      <c r="E31" s="30">
        <v>0</v>
      </c>
      <c r="F31" s="30">
        <v>0</v>
      </c>
      <c r="G31" s="30"/>
      <c r="H31" s="24">
        <v>5</v>
      </c>
      <c r="I31" s="4">
        <f t="shared" si="7"/>
        <v>3.7</v>
      </c>
      <c r="J31" s="4">
        <f t="shared" si="8"/>
        <v>10.545000000000002</v>
      </c>
      <c r="K31" s="4">
        <f t="shared" si="9"/>
        <v>0.111</v>
      </c>
      <c r="L31" s="4">
        <f t="shared" si="10"/>
        <v>0</v>
      </c>
      <c r="M31" s="4">
        <f t="shared" si="11"/>
        <v>0</v>
      </c>
      <c r="N31" s="4">
        <f t="shared" si="12"/>
        <v>0</v>
      </c>
    </row>
    <row r="32" spans="1:17">
      <c r="A32" t="s">
        <v>36</v>
      </c>
    </row>
    <row r="33" spans="5:14">
      <c r="H33">
        <f>SUM(H26:H32)</f>
        <v>100</v>
      </c>
      <c r="I33">
        <f t="shared" ref="I33:N33" si="13">SUM(I26:I31)</f>
        <v>86.821000000000012</v>
      </c>
      <c r="J33">
        <f t="shared" si="13"/>
        <v>260.11469999999997</v>
      </c>
      <c r="K33">
        <f t="shared" si="13"/>
        <v>20.984016</v>
      </c>
      <c r="L33">
        <f t="shared" si="13"/>
        <v>18.623676</v>
      </c>
      <c r="M33">
        <f t="shared" si="13"/>
        <v>6.9407820000000005</v>
      </c>
      <c r="N33">
        <f t="shared" si="13"/>
        <v>29.654289000000006</v>
      </c>
    </row>
    <row r="35" spans="5:14">
      <c r="J35">
        <f>J33/I33</f>
        <v>2.9959882977620613</v>
      </c>
      <c r="K35">
        <f>K33/$I$33*100</f>
        <v>24.169286232593496</v>
      </c>
      <c r="L35">
        <f>L33/$I$33*100</f>
        <v>21.450658250884</v>
      </c>
      <c r="M35">
        <f>M33/$I$33*100</f>
        <v>7.9943585077343036</v>
      </c>
      <c r="N35">
        <f>N33/$I$33*100</f>
        <v>34.155663952269613</v>
      </c>
    </row>
    <row r="39" spans="5:14">
      <c r="E39" s="23" t="s">
        <v>30</v>
      </c>
      <c r="F39">
        <v>19.206</v>
      </c>
    </row>
    <row r="40" spans="5:14">
      <c r="E40" s="23" t="s">
        <v>31</v>
      </c>
      <c r="F40">
        <v>13.05</v>
      </c>
    </row>
    <row r="41" spans="5:14">
      <c r="E41" s="23" t="s">
        <v>32</v>
      </c>
      <c r="F41">
        <v>21.975000000000001</v>
      </c>
    </row>
    <row r="42" spans="5:14">
      <c r="E42" s="23" t="s">
        <v>33</v>
      </c>
      <c r="F42">
        <v>8.8800000000000008</v>
      </c>
    </row>
    <row r="43" spans="5:14">
      <c r="E43" s="23" t="s">
        <v>34</v>
      </c>
      <c r="F43">
        <v>20.010000000000002</v>
      </c>
    </row>
    <row r="44" spans="5:14">
      <c r="E44" s="23" t="s">
        <v>35</v>
      </c>
      <c r="F44">
        <v>3.7</v>
      </c>
    </row>
    <row r="45" spans="5:14">
      <c r="F45">
        <f>SUM(F39:F44)</f>
        <v>86.821000000000012</v>
      </c>
      <c r="G45">
        <v>260.11470000000003</v>
      </c>
      <c r="H45">
        <v>20.984016</v>
      </c>
      <c r="I45">
        <v>18.623676</v>
      </c>
    </row>
    <row r="46" spans="5:14">
      <c r="G46">
        <f>G45/F45</f>
        <v>2.9959882977620622</v>
      </c>
      <c r="H46">
        <f>H45/F45*100</f>
        <v>24.169286232593496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defaultColWidth="9.140625" defaultRowHeight="15"/>
  <sheetData>
    <row r="1" spans="1:4">
      <c r="A1" t="s">
        <v>71</v>
      </c>
    </row>
    <row r="4" spans="1:4">
      <c r="B4" t="s">
        <v>13</v>
      </c>
      <c r="C4" t="s">
        <v>72</v>
      </c>
      <c r="D4" t="s">
        <v>30</v>
      </c>
    </row>
    <row r="5" spans="1:4">
      <c r="B5">
        <v>25</v>
      </c>
      <c r="C5">
        <v>2.5</v>
      </c>
    </row>
    <row r="6" spans="1:4">
      <c r="B6">
        <v>30</v>
      </c>
      <c r="C6">
        <v>3</v>
      </c>
    </row>
    <row r="7" spans="1:4">
      <c r="B7">
        <v>40</v>
      </c>
      <c r="C7">
        <v>4</v>
      </c>
    </row>
    <row r="8" spans="1:4">
      <c r="B8">
        <v>50</v>
      </c>
      <c r="C8">
        <v>4</v>
      </c>
    </row>
    <row r="9" spans="1:4">
      <c r="B9">
        <v>60</v>
      </c>
      <c r="C9">
        <v>4</v>
      </c>
    </row>
    <row r="10" spans="1:4">
      <c r="B10">
        <v>70</v>
      </c>
      <c r="C10">
        <v>4</v>
      </c>
    </row>
    <row r="11" spans="1:4">
      <c r="B11">
        <v>80</v>
      </c>
      <c r="C11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opLeftCell="A73" zoomScale="61" zoomScaleNormal="61" workbookViewId="0">
      <selection activeCell="I100" sqref="I100"/>
    </sheetView>
  </sheetViews>
  <sheetFormatPr defaultColWidth="9.140625" defaultRowHeight="15"/>
  <cols>
    <col min="2" max="2" width="11.42578125" customWidth="1"/>
    <col min="3" max="3" width="14" customWidth="1"/>
    <col min="7" max="7" width="15.7109375" customWidth="1"/>
    <col min="8" max="8" width="16.7109375" customWidth="1"/>
    <col min="9" max="9" width="15.42578125" customWidth="1"/>
    <col min="10" max="10" width="14.5703125" customWidth="1"/>
    <col min="11" max="11" width="12.85546875"/>
    <col min="12" max="20" width="17.7109375" customWidth="1"/>
    <col min="21" max="21" width="16.28515625" customWidth="1"/>
    <col min="22" max="22" width="15.85546875" customWidth="1"/>
    <col min="25" max="25" width="12.85546875"/>
  </cols>
  <sheetData>
    <row r="1" spans="1:25">
      <c r="A1" t="s">
        <v>13</v>
      </c>
      <c r="B1" t="s">
        <v>38</v>
      </c>
      <c r="C1" t="s">
        <v>73</v>
      </c>
      <c r="E1" t="s">
        <v>74</v>
      </c>
      <c r="G1" t="s">
        <v>39</v>
      </c>
      <c r="H1" t="s">
        <v>75</v>
      </c>
      <c r="I1" t="s">
        <v>42</v>
      </c>
      <c r="J1" t="s">
        <v>43</v>
      </c>
      <c r="L1" t="s">
        <v>40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U1" t="s">
        <v>77</v>
      </c>
      <c r="V1" t="s">
        <v>78</v>
      </c>
    </row>
    <row r="2" spans="1:25">
      <c r="A2">
        <v>25</v>
      </c>
      <c r="B2">
        <v>0.55000000000000004</v>
      </c>
      <c r="C2">
        <v>2.2000000000000002</v>
      </c>
      <c r="D2">
        <v>25</v>
      </c>
      <c r="E2">
        <f>D2/100*B2</f>
        <v>0.13750000000000001</v>
      </c>
      <c r="G2">
        <f>0.55*B2</f>
        <v>0.30250000000000005</v>
      </c>
      <c r="H2">
        <f>G2/0.12</f>
        <v>2.5208333333333339</v>
      </c>
      <c r="I2">
        <f>5.37*G2</f>
        <v>1.6244250000000002</v>
      </c>
      <c r="J2">
        <f>25.4/100*G2</f>
        <v>7.6835000000000014E-2</v>
      </c>
      <c r="L2">
        <f>B2-G2</f>
        <v>0.2475</v>
      </c>
      <c r="M2">
        <f>100/86.82*L2</f>
        <v>0.28507256392536279</v>
      </c>
      <c r="N2">
        <f>L2*2.99</f>
        <v>0.74002500000000004</v>
      </c>
      <c r="O2">
        <f>24/100*L2</f>
        <v>5.9399999999999994E-2</v>
      </c>
      <c r="P2">
        <f t="shared" ref="P2:P8" si="0">N2+I2</f>
        <v>2.3644500000000002</v>
      </c>
      <c r="Q2">
        <f t="shared" ref="Q2:Q8" si="1">O2+J2</f>
        <v>0.13623499999999999</v>
      </c>
      <c r="U2">
        <f>C2-I2</f>
        <v>0.57557499999999995</v>
      </c>
      <c r="V2">
        <f>E2-J2</f>
        <v>6.0664999999999997E-2</v>
      </c>
    </row>
    <row r="3" spans="1:25">
      <c r="A3">
        <v>30</v>
      </c>
      <c r="B3">
        <v>0.65</v>
      </c>
      <c r="C3">
        <v>2.7</v>
      </c>
      <c r="D3">
        <v>24.6</v>
      </c>
      <c r="E3">
        <f t="shared" ref="E3:E8" si="2">D3/100*B3</f>
        <v>0.15990000000000001</v>
      </c>
      <c r="G3">
        <f t="shared" ref="G3:G8" si="3">0.55*B3</f>
        <v>0.35750000000000004</v>
      </c>
      <c r="H3">
        <f t="shared" ref="H3:H8" si="4">G3/0.12</f>
        <v>2.979166666666667</v>
      </c>
      <c r="I3">
        <f t="shared" ref="I3:I8" si="5">5.37*G3</f>
        <v>1.9197750000000002</v>
      </c>
      <c r="J3">
        <f t="shared" ref="J3:J8" si="6">25.4/100*G3</f>
        <v>9.0805000000000011E-2</v>
      </c>
      <c r="L3">
        <f t="shared" ref="L3:L8" si="7">B3-G3</f>
        <v>0.29249999999999998</v>
      </c>
      <c r="M3">
        <f t="shared" ref="M3:M8" si="8">100/86.82*L3</f>
        <v>0.33690393918451966</v>
      </c>
      <c r="N3">
        <f t="shared" ref="N3:N8" si="9">L3*2.99</f>
        <v>0.87457499999999999</v>
      </c>
      <c r="O3">
        <f t="shared" ref="O3:O8" si="10">24/100*L3</f>
        <v>7.0199999999999999E-2</v>
      </c>
      <c r="P3">
        <f t="shared" si="0"/>
        <v>2.7943500000000001</v>
      </c>
      <c r="Q3">
        <f t="shared" si="1"/>
        <v>0.16100500000000001</v>
      </c>
      <c r="U3">
        <f t="shared" ref="U3:U8" si="11">C3-I3</f>
        <v>0.78022499999999995</v>
      </c>
      <c r="V3">
        <f t="shared" ref="V3:V8" si="12">E3-J3</f>
        <v>6.9095000000000004E-2</v>
      </c>
    </row>
    <row r="4" spans="1:25">
      <c r="A4">
        <v>40</v>
      </c>
      <c r="B4">
        <v>0.75</v>
      </c>
      <c r="C4">
        <v>3.1</v>
      </c>
      <c r="D4">
        <v>22.5</v>
      </c>
      <c r="E4">
        <f t="shared" si="2"/>
        <v>0.16875000000000001</v>
      </c>
      <c r="G4">
        <f t="shared" si="3"/>
        <v>0.41250000000000003</v>
      </c>
      <c r="H4">
        <f t="shared" si="4"/>
        <v>3.4375000000000004</v>
      </c>
      <c r="I4">
        <f t="shared" si="5"/>
        <v>2.215125</v>
      </c>
      <c r="J4">
        <f t="shared" si="6"/>
        <v>0.10477500000000001</v>
      </c>
      <c r="L4">
        <f t="shared" si="7"/>
        <v>0.33749999999999997</v>
      </c>
      <c r="M4">
        <f t="shared" si="8"/>
        <v>0.38873531444367654</v>
      </c>
      <c r="N4">
        <f t="shared" si="9"/>
        <v>1.009125</v>
      </c>
      <c r="O4">
        <f t="shared" si="10"/>
        <v>8.0999999999999989E-2</v>
      </c>
      <c r="P4">
        <f t="shared" si="0"/>
        <v>3.2242500000000001</v>
      </c>
      <c r="Q4">
        <f t="shared" si="1"/>
        <v>0.185775</v>
      </c>
      <c r="U4">
        <f t="shared" si="11"/>
        <v>0.88487500000000008</v>
      </c>
      <c r="V4">
        <f t="shared" si="12"/>
        <v>6.3975000000000004E-2</v>
      </c>
    </row>
    <row r="5" spans="1:25">
      <c r="A5">
        <v>50</v>
      </c>
      <c r="B5">
        <v>0.85</v>
      </c>
      <c r="C5">
        <v>3.45</v>
      </c>
      <c r="D5">
        <v>21</v>
      </c>
      <c r="E5">
        <f t="shared" si="2"/>
        <v>0.17849999999999999</v>
      </c>
      <c r="G5">
        <f t="shared" si="3"/>
        <v>0.46750000000000003</v>
      </c>
      <c r="H5">
        <f t="shared" si="4"/>
        <v>3.8958333333333335</v>
      </c>
      <c r="I5">
        <f t="shared" si="5"/>
        <v>2.510475</v>
      </c>
      <c r="J5">
        <f t="shared" si="6"/>
        <v>0.118745</v>
      </c>
      <c r="L5">
        <f t="shared" si="7"/>
        <v>0.38249999999999995</v>
      </c>
      <c r="M5">
        <f t="shared" si="8"/>
        <v>0.44056668970283336</v>
      </c>
      <c r="N5">
        <f t="shared" si="9"/>
        <v>1.143675</v>
      </c>
      <c r="O5">
        <f t="shared" si="10"/>
        <v>9.1799999999999979E-2</v>
      </c>
      <c r="P5">
        <f t="shared" si="0"/>
        <v>3.65415</v>
      </c>
      <c r="Q5">
        <f t="shared" si="1"/>
        <v>0.21054499999999998</v>
      </c>
      <c r="U5">
        <f t="shared" si="11"/>
        <v>0.93952500000000017</v>
      </c>
      <c r="V5">
        <f t="shared" si="12"/>
        <v>5.9754999999999989E-2</v>
      </c>
    </row>
    <row r="6" spans="1:25">
      <c r="A6">
        <v>60</v>
      </c>
      <c r="B6">
        <v>0.95</v>
      </c>
      <c r="C6">
        <v>3.83</v>
      </c>
      <c r="D6">
        <v>20</v>
      </c>
      <c r="E6">
        <f t="shared" si="2"/>
        <v>0.19</v>
      </c>
      <c r="G6">
        <f t="shared" si="3"/>
        <v>0.52249999999999996</v>
      </c>
      <c r="H6">
        <f t="shared" si="4"/>
        <v>4.354166666666667</v>
      </c>
      <c r="I6">
        <f t="shared" si="5"/>
        <v>2.805825</v>
      </c>
      <c r="J6">
        <f t="shared" si="6"/>
        <v>0.132715</v>
      </c>
      <c r="L6">
        <f t="shared" si="7"/>
        <v>0.42749999999999999</v>
      </c>
      <c r="M6">
        <f t="shared" si="8"/>
        <v>0.49239806496199029</v>
      </c>
      <c r="N6">
        <f t="shared" si="9"/>
        <v>1.2782250000000002</v>
      </c>
      <c r="O6">
        <f t="shared" si="10"/>
        <v>0.1026</v>
      </c>
      <c r="P6">
        <f t="shared" si="0"/>
        <v>4.0840500000000004</v>
      </c>
      <c r="Q6">
        <f t="shared" si="1"/>
        <v>0.235315</v>
      </c>
      <c r="U6">
        <f t="shared" si="11"/>
        <v>1.0241750000000001</v>
      </c>
      <c r="V6">
        <f t="shared" si="12"/>
        <v>5.7285000000000003E-2</v>
      </c>
    </row>
    <row r="7" spans="1:25">
      <c r="A7">
        <v>70</v>
      </c>
      <c r="B7">
        <v>1.05</v>
      </c>
      <c r="C7">
        <v>4.1500000000000004</v>
      </c>
      <c r="D7">
        <v>18.3</v>
      </c>
      <c r="E7">
        <f t="shared" si="2"/>
        <v>0.19215000000000002</v>
      </c>
      <c r="G7">
        <f t="shared" si="3"/>
        <v>0.57750000000000012</v>
      </c>
      <c r="H7">
        <f t="shared" si="4"/>
        <v>4.8125000000000009</v>
      </c>
      <c r="I7">
        <f t="shared" si="5"/>
        <v>3.1011750000000009</v>
      </c>
      <c r="J7">
        <f t="shared" si="6"/>
        <v>0.14668500000000004</v>
      </c>
      <c r="L7">
        <f t="shared" si="7"/>
        <v>0.47249999999999992</v>
      </c>
      <c r="M7">
        <f t="shared" si="8"/>
        <v>0.54422944022114705</v>
      </c>
      <c r="N7">
        <f t="shared" si="9"/>
        <v>1.4127749999999999</v>
      </c>
      <c r="O7">
        <f t="shared" si="10"/>
        <v>0.11339999999999997</v>
      </c>
      <c r="P7">
        <f t="shared" si="0"/>
        <v>4.5139500000000012</v>
      </c>
      <c r="Q7">
        <f t="shared" si="1"/>
        <v>0.26008500000000001</v>
      </c>
      <c r="U7">
        <f t="shared" si="11"/>
        <v>1.0488249999999995</v>
      </c>
      <c r="V7">
        <f t="shared" si="12"/>
        <v>4.5464999999999978E-2</v>
      </c>
    </row>
    <row r="8" spans="1:25">
      <c r="A8">
        <v>80</v>
      </c>
      <c r="B8">
        <v>1.1499999999999999</v>
      </c>
      <c r="C8">
        <v>4.5</v>
      </c>
      <c r="D8">
        <v>18.8</v>
      </c>
      <c r="E8">
        <f t="shared" si="2"/>
        <v>0.21619999999999998</v>
      </c>
      <c r="G8">
        <f t="shared" si="3"/>
        <v>0.63249999999999995</v>
      </c>
      <c r="H8">
        <f t="shared" si="4"/>
        <v>5.270833333333333</v>
      </c>
      <c r="I8">
        <f t="shared" si="5"/>
        <v>3.396525</v>
      </c>
      <c r="J8">
        <f t="shared" si="6"/>
        <v>0.16065499999999999</v>
      </c>
      <c r="L8">
        <f t="shared" si="7"/>
        <v>0.51749999999999996</v>
      </c>
      <c r="M8">
        <f t="shared" si="8"/>
        <v>0.59606081548030398</v>
      </c>
      <c r="N8">
        <f t="shared" si="9"/>
        <v>1.5473250000000001</v>
      </c>
      <c r="O8">
        <f t="shared" si="10"/>
        <v>0.12419999999999999</v>
      </c>
      <c r="P8">
        <f t="shared" si="0"/>
        <v>4.9438500000000003</v>
      </c>
      <c r="Q8">
        <f t="shared" si="1"/>
        <v>0.28485499999999997</v>
      </c>
      <c r="U8">
        <f t="shared" si="11"/>
        <v>1.103475</v>
      </c>
      <c r="V8">
        <f t="shared" si="12"/>
        <v>5.5544999999999983E-2</v>
      </c>
    </row>
    <row r="11" spans="1:25">
      <c r="O11">
        <v>25</v>
      </c>
      <c r="P11">
        <v>30</v>
      </c>
      <c r="Q11">
        <v>40</v>
      </c>
      <c r="R11">
        <v>50</v>
      </c>
      <c r="S11">
        <v>60</v>
      </c>
      <c r="T11">
        <v>70</v>
      </c>
      <c r="U11">
        <v>80</v>
      </c>
    </row>
    <row r="12" spans="1:25">
      <c r="M12" s="23" t="s">
        <v>30</v>
      </c>
      <c r="N12" s="24">
        <v>22</v>
      </c>
      <c r="O12">
        <f t="shared" ref="O12:O17" si="13">N12/100*$M$2</f>
        <v>6.2715964063579807E-2</v>
      </c>
      <c r="P12">
        <f t="shared" ref="P12:P17" si="14">N12/100*$M$3</f>
        <v>7.4118866620594331E-2</v>
      </c>
      <c r="Q12">
        <f t="shared" ref="Q12:Q17" si="15">N12/100*$M$4</f>
        <v>8.5521769177608842E-2</v>
      </c>
      <c r="R12">
        <f t="shared" ref="R12:R17" si="16">N12/100*$M$5</f>
        <v>9.6924671734623338E-2</v>
      </c>
      <c r="S12" s="26">
        <f t="shared" ref="S12:S17" si="17">N12/100*$M$6</f>
        <v>0.10832757429163786</v>
      </c>
      <c r="T12" s="27">
        <f t="shared" ref="T12:T17" si="18">N12/100*$M$7</f>
        <v>0.11973047684865236</v>
      </c>
      <c r="U12">
        <f t="shared" ref="U12:U17" si="19">N12/100*$M$8</f>
        <v>0.13113337940566688</v>
      </c>
      <c r="X12">
        <v>0.28507256392536301</v>
      </c>
      <c r="Y12">
        <f>X12*1000</f>
        <v>285.072563925363</v>
      </c>
    </row>
    <row r="13" spans="1:25">
      <c r="A13" t="s">
        <v>81</v>
      </c>
      <c r="B13" t="s">
        <v>82</v>
      </c>
      <c r="C13" t="s">
        <v>83</v>
      </c>
      <c r="D13" s="9"/>
      <c r="E13" s="9"/>
      <c r="F13" s="9"/>
      <c r="G13" s="9"/>
      <c r="H13" s="9"/>
      <c r="I13" s="9"/>
      <c r="M13" s="23" t="s">
        <v>31</v>
      </c>
      <c r="N13" s="24">
        <v>15</v>
      </c>
      <c r="O13">
        <f t="shared" si="13"/>
        <v>4.2760884588804414E-2</v>
      </c>
      <c r="P13">
        <f t="shared" si="14"/>
        <v>5.0535590877677949E-2</v>
      </c>
      <c r="Q13">
        <f t="shared" si="15"/>
        <v>5.8310297166551478E-2</v>
      </c>
      <c r="R13">
        <f t="shared" si="16"/>
        <v>6.6085003455425007E-2</v>
      </c>
      <c r="S13" s="26">
        <f t="shared" si="17"/>
        <v>7.3859709744298535E-2</v>
      </c>
      <c r="T13" s="27">
        <f t="shared" si="18"/>
        <v>8.163441603317205E-2</v>
      </c>
      <c r="U13">
        <f t="shared" si="19"/>
        <v>8.9409122322045592E-2</v>
      </c>
      <c r="X13">
        <v>0.33690393918452</v>
      </c>
      <c r="Y13">
        <f t="shared" ref="Y13:Y18" si="20">X13*1000</f>
        <v>336.90393918451997</v>
      </c>
    </row>
    <row r="14" spans="1:25">
      <c r="A14">
        <v>25</v>
      </c>
      <c r="B14" s="7">
        <v>2.5208333333333299</v>
      </c>
      <c r="C14" s="8">
        <v>285.072563925363</v>
      </c>
      <c r="M14" s="23" t="s">
        <v>32</v>
      </c>
      <c r="N14" s="24">
        <v>25</v>
      </c>
      <c r="O14">
        <f t="shared" si="13"/>
        <v>7.1268140981340697E-2</v>
      </c>
      <c r="P14">
        <f t="shared" si="14"/>
        <v>8.4225984796129916E-2</v>
      </c>
      <c r="Q14">
        <f t="shared" si="15"/>
        <v>9.7183828610919135E-2</v>
      </c>
      <c r="R14">
        <f t="shared" si="16"/>
        <v>0.11014167242570834</v>
      </c>
      <c r="S14" s="26">
        <f t="shared" si="17"/>
        <v>0.12309951624049757</v>
      </c>
      <c r="T14" s="27">
        <f t="shared" si="18"/>
        <v>0.13605736005528676</v>
      </c>
      <c r="U14">
        <f t="shared" si="19"/>
        <v>0.149015203870076</v>
      </c>
      <c r="X14">
        <v>0.38873531444367698</v>
      </c>
      <c r="Y14">
        <f t="shared" si="20"/>
        <v>388.735314443677</v>
      </c>
    </row>
    <row r="15" spans="1:25">
      <c r="A15">
        <v>30</v>
      </c>
      <c r="B15" s="7">
        <v>2.9791666666666701</v>
      </c>
      <c r="C15" s="8">
        <v>336.90393918452003</v>
      </c>
      <c r="M15" s="23" t="s">
        <v>33</v>
      </c>
      <c r="N15" s="24">
        <v>10</v>
      </c>
      <c r="O15">
        <f t="shared" si="13"/>
        <v>2.8507256392536279E-2</v>
      </c>
      <c r="P15">
        <f t="shared" si="14"/>
        <v>3.3690393918451966E-2</v>
      </c>
      <c r="Q15">
        <f t="shared" si="15"/>
        <v>3.8873531444367657E-2</v>
      </c>
      <c r="R15">
        <f t="shared" si="16"/>
        <v>4.405666897028334E-2</v>
      </c>
      <c r="S15" s="26">
        <f t="shared" si="17"/>
        <v>4.923980649619903E-2</v>
      </c>
      <c r="T15" s="27">
        <f t="shared" si="18"/>
        <v>5.4422944022114707E-2</v>
      </c>
      <c r="U15">
        <f t="shared" si="19"/>
        <v>5.9606081548030404E-2</v>
      </c>
      <c r="X15">
        <v>0.44056668970283303</v>
      </c>
      <c r="Y15">
        <f t="shared" si="20"/>
        <v>440.566689702833</v>
      </c>
    </row>
    <row r="16" spans="1:25">
      <c r="A16">
        <v>40</v>
      </c>
      <c r="B16" s="7">
        <v>3.4375</v>
      </c>
      <c r="C16" s="8">
        <v>388.735314443677</v>
      </c>
      <c r="M16" s="23" t="s">
        <v>34</v>
      </c>
      <c r="N16" s="24">
        <v>23</v>
      </c>
      <c r="O16">
        <f t="shared" si="13"/>
        <v>6.5566689702833442E-2</v>
      </c>
      <c r="P16">
        <f t="shared" si="14"/>
        <v>7.7487906012439531E-2</v>
      </c>
      <c r="Q16">
        <f t="shared" si="15"/>
        <v>8.9409122322045606E-2</v>
      </c>
      <c r="R16">
        <f t="shared" si="16"/>
        <v>0.10133033863165168</v>
      </c>
      <c r="S16" s="26">
        <f t="shared" si="17"/>
        <v>0.11325155494125777</v>
      </c>
      <c r="T16" s="27">
        <f t="shared" si="18"/>
        <v>0.12517277125086382</v>
      </c>
      <c r="U16">
        <f t="shared" si="19"/>
        <v>0.13709398756046992</v>
      </c>
      <c r="X16">
        <v>0.49239806496199001</v>
      </c>
      <c r="Y16">
        <f t="shared" si="20"/>
        <v>492.39806496199003</v>
      </c>
    </row>
    <row r="17" spans="1:25">
      <c r="A17">
        <v>50</v>
      </c>
      <c r="B17" s="7">
        <v>3.8958333333333299</v>
      </c>
      <c r="C17" s="8">
        <v>440.566689702833</v>
      </c>
      <c r="M17" s="23" t="s">
        <v>35</v>
      </c>
      <c r="N17" s="24">
        <v>5</v>
      </c>
      <c r="O17">
        <f t="shared" si="13"/>
        <v>1.425362819626814E-2</v>
      </c>
      <c r="P17">
        <f t="shared" si="14"/>
        <v>1.6845196959225983E-2</v>
      </c>
      <c r="Q17">
        <f t="shared" si="15"/>
        <v>1.9436765722183828E-2</v>
      </c>
      <c r="R17">
        <f t="shared" si="16"/>
        <v>2.202833448514167E-2</v>
      </c>
      <c r="S17" s="26">
        <f t="shared" si="17"/>
        <v>2.4619903248099515E-2</v>
      </c>
      <c r="T17" s="27">
        <f t="shared" si="18"/>
        <v>2.7211472011057353E-2</v>
      </c>
      <c r="U17">
        <f t="shared" si="19"/>
        <v>2.9803040774015202E-2</v>
      </c>
      <c r="X17">
        <v>0.54422944022114705</v>
      </c>
      <c r="Y17">
        <f t="shared" si="20"/>
        <v>544.229440221147</v>
      </c>
    </row>
    <row r="18" spans="1:25">
      <c r="A18">
        <v>60</v>
      </c>
      <c r="B18" s="7">
        <v>4.3541666666666696</v>
      </c>
      <c r="C18" s="8">
        <v>492.39806496198997</v>
      </c>
      <c r="N18" s="23" t="s">
        <v>30</v>
      </c>
      <c r="O18" s="8">
        <f>O12*1000</f>
        <v>62.715964063579804</v>
      </c>
      <c r="P18" s="8">
        <f t="shared" ref="P18:U18" si="21">P12*1000</f>
        <v>74.118866620594332</v>
      </c>
      <c r="Q18" s="8">
        <f t="shared" si="21"/>
        <v>85.521769177608846</v>
      </c>
      <c r="R18" s="8">
        <f t="shared" si="21"/>
        <v>96.924671734623345</v>
      </c>
      <c r="S18" s="8">
        <f t="shared" si="21"/>
        <v>108.32757429163786</v>
      </c>
      <c r="T18" s="8">
        <f t="shared" si="21"/>
        <v>119.73047684865236</v>
      </c>
      <c r="U18" s="8">
        <f t="shared" si="21"/>
        <v>131.13337940566689</v>
      </c>
      <c r="X18">
        <v>0.59606081548030398</v>
      </c>
      <c r="Y18">
        <f t="shared" si="20"/>
        <v>596.06081548030397</v>
      </c>
    </row>
    <row r="19" spans="1:25">
      <c r="A19">
        <v>70</v>
      </c>
      <c r="B19" s="7">
        <v>4.8125</v>
      </c>
      <c r="C19" s="8">
        <v>544.229440221147</v>
      </c>
      <c r="N19" s="23" t="s">
        <v>31</v>
      </c>
      <c r="O19" s="8">
        <f t="shared" ref="O19:U19" si="22">O13*1000</f>
        <v>42.760884588804416</v>
      </c>
      <c r="P19" s="8">
        <f t="shared" si="22"/>
        <v>50.535590877677947</v>
      </c>
      <c r="Q19" s="8">
        <f t="shared" si="22"/>
        <v>58.310297166551479</v>
      </c>
      <c r="R19" s="8">
        <f t="shared" si="22"/>
        <v>66.08500345542501</v>
      </c>
      <c r="S19" s="8">
        <f t="shared" si="22"/>
        <v>73.859709744298542</v>
      </c>
      <c r="T19" s="8">
        <f t="shared" si="22"/>
        <v>81.634416033172045</v>
      </c>
      <c r="U19" s="8">
        <f t="shared" si="22"/>
        <v>89.40912232204559</v>
      </c>
    </row>
    <row r="20" spans="1:25">
      <c r="A20">
        <v>80</v>
      </c>
      <c r="B20" s="7">
        <v>5.2708333333333304</v>
      </c>
      <c r="C20" s="8">
        <v>596.06081548030397</v>
      </c>
      <c r="N20" s="23" t="s">
        <v>32</v>
      </c>
      <c r="O20" s="8">
        <f t="shared" ref="O20:U20" si="23">O14*1000</f>
        <v>71.268140981340693</v>
      </c>
      <c r="P20" s="8">
        <f t="shared" si="23"/>
        <v>84.225984796129922</v>
      </c>
      <c r="Q20" s="8">
        <f t="shared" si="23"/>
        <v>97.183828610919136</v>
      </c>
      <c r="R20" s="8">
        <f t="shared" si="23"/>
        <v>110.14167242570834</v>
      </c>
      <c r="S20" s="8">
        <f t="shared" si="23"/>
        <v>123.09951624049758</v>
      </c>
      <c r="T20" s="8">
        <f t="shared" si="23"/>
        <v>136.05736005528675</v>
      </c>
      <c r="U20" s="8">
        <f t="shared" si="23"/>
        <v>149.01520387007599</v>
      </c>
    </row>
    <row r="21" spans="1:25">
      <c r="N21" s="23" t="s">
        <v>33</v>
      </c>
      <c r="O21" s="8">
        <f t="shared" ref="O21:U21" si="24">O15*1000</f>
        <v>28.507256392536281</v>
      </c>
      <c r="P21" s="8">
        <f t="shared" si="24"/>
        <v>33.690393918451967</v>
      </c>
      <c r="Q21" s="8">
        <f t="shared" si="24"/>
        <v>38.873531444367657</v>
      </c>
      <c r="R21" s="8">
        <f t="shared" si="24"/>
        <v>44.05666897028334</v>
      </c>
      <c r="S21" s="8">
        <f t="shared" si="24"/>
        <v>49.23980649619903</v>
      </c>
      <c r="T21" s="8">
        <f t="shared" si="24"/>
        <v>54.422944022114706</v>
      </c>
      <c r="U21" s="8">
        <f t="shared" si="24"/>
        <v>59.606081548030403</v>
      </c>
    </row>
    <row r="22" spans="1:25">
      <c r="B22" s="4" t="s">
        <v>84</v>
      </c>
      <c r="C22" s="4"/>
      <c r="N22" s="23" t="s">
        <v>34</v>
      </c>
      <c r="O22" s="8">
        <f t="shared" ref="O22:U22" si="25">O16*1000</f>
        <v>65.566689702833443</v>
      </c>
      <c r="P22" s="8">
        <f t="shared" si="25"/>
        <v>77.487906012439524</v>
      </c>
      <c r="Q22" s="8">
        <f t="shared" si="25"/>
        <v>89.409122322045604</v>
      </c>
      <c r="R22" s="8">
        <f t="shared" si="25"/>
        <v>101.33033863165168</v>
      </c>
      <c r="S22" s="8">
        <f t="shared" si="25"/>
        <v>113.25155494125777</v>
      </c>
      <c r="T22" s="8">
        <f t="shared" si="25"/>
        <v>125.17277125086382</v>
      </c>
      <c r="U22" s="8">
        <f t="shared" si="25"/>
        <v>137.09398756046991</v>
      </c>
    </row>
    <row r="23" spans="1:25">
      <c r="B23" s="9" t="s">
        <v>30</v>
      </c>
      <c r="C23" s="10" t="s">
        <v>85</v>
      </c>
      <c r="N23" s="23" t="s">
        <v>35</v>
      </c>
      <c r="O23" s="8">
        <f t="shared" ref="O23:U23" si="26">O17*1000</f>
        <v>14.25362819626814</v>
      </c>
      <c r="P23" s="8">
        <f t="shared" si="26"/>
        <v>16.845196959225984</v>
      </c>
      <c r="Q23" s="8">
        <f t="shared" si="26"/>
        <v>19.436765722183829</v>
      </c>
      <c r="R23" s="8">
        <f t="shared" si="26"/>
        <v>22.02833448514167</v>
      </c>
      <c r="S23" s="8">
        <f t="shared" si="26"/>
        <v>24.619903248099515</v>
      </c>
      <c r="T23" s="8">
        <f t="shared" si="26"/>
        <v>27.211472011057353</v>
      </c>
      <c r="U23" s="8">
        <f t="shared" si="26"/>
        <v>29.803040774015201</v>
      </c>
    </row>
    <row r="24" spans="1:25">
      <c r="B24" s="9" t="s">
        <v>31</v>
      </c>
      <c r="C24" s="10" t="s">
        <v>86</v>
      </c>
      <c r="O24">
        <f>SUM(O18:O23)</f>
        <v>285.07256392536277</v>
      </c>
      <c r="P24">
        <f>SUM(P18:P23)</f>
        <v>336.90393918451969</v>
      </c>
      <c r="Q24">
        <f t="shared" ref="Q24:U24" si="27">SUM(Q18:Q23)</f>
        <v>388.7353144436766</v>
      </c>
      <c r="R24">
        <f t="shared" si="27"/>
        <v>440.5666897028334</v>
      </c>
      <c r="S24">
        <f t="shared" si="27"/>
        <v>492.39806496199026</v>
      </c>
      <c r="T24">
        <f t="shared" si="27"/>
        <v>544.229440221147</v>
      </c>
      <c r="U24">
        <f t="shared" si="27"/>
        <v>596.06081548030409</v>
      </c>
    </row>
    <row r="25" spans="1:25">
      <c r="B25" s="9" t="s">
        <v>32</v>
      </c>
      <c r="C25" s="10" t="s">
        <v>87</v>
      </c>
      <c r="O25" s="8">
        <f t="shared" ref="O25:O30" si="28">O18/$O$24*100</f>
        <v>21.999999999999996</v>
      </c>
      <c r="P25" s="8">
        <f t="shared" ref="P25:P30" si="29">P18/$P$24*100</f>
        <v>22</v>
      </c>
    </row>
    <row r="26" spans="1:25">
      <c r="B26" s="9" t="s">
        <v>33</v>
      </c>
      <c r="C26" s="10" t="s">
        <v>88</v>
      </c>
      <c r="O26" s="8">
        <f t="shared" si="28"/>
        <v>15</v>
      </c>
      <c r="P26" s="8">
        <f t="shared" si="29"/>
        <v>15</v>
      </c>
    </row>
    <row r="27" spans="1:25">
      <c r="B27" s="9" t="s">
        <v>34</v>
      </c>
      <c r="C27" s="10" t="s">
        <v>89</v>
      </c>
      <c r="O27" s="8">
        <f t="shared" si="28"/>
        <v>25</v>
      </c>
      <c r="P27" s="8">
        <f t="shared" si="29"/>
        <v>25</v>
      </c>
    </row>
    <row r="28" spans="1:25">
      <c r="B28" s="9" t="s">
        <v>35</v>
      </c>
      <c r="C28" s="10" t="s">
        <v>90</v>
      </c>
      <c r="O28" s="8">
        <f t="shared" si="28"/>
        <v>10</v>
      </c>
      <c r="P28" s="8">
        <f t="shared" si="29"/>
        <v>10</v>
      </c>
    </row>
    <row r="29" spans="1:25">
      <c r="O29" s="8">
        <f t="shared" si="28"/>
        <v>23</v>
      </c>
      <c r="P29" s="8">
        <f t="shared" si="29"/>
        <v>23</v>
      </c>
    </row>
    <row r="30" spans="1:25">
      <c r="O30" s="8">
        <f t="shared" si="28"/>
        <v>5</v>
      </c>
      <c r="P30" s="8">
        <f t="shared" si="29"/>
        <v>5</v>
      </c>
    </row>
    <row r="35" spans="2:19">
      <c r="B35" t="s">
        <v>91</v>
      </c>
    </row>
    <row r="36" spans="2:19">
      <c r="B36">
        <v>300</v>
      </c>
      <c r="C36">
        <v>16</v>
      </c>
      <c r="D36">
        <v>32</v>
      </c>
      <c r="E36">
        <v>48</v>
      </c>
      <c r="F36">
        <v>60</v>
      </c>
      <c r="G36">
        <v>80</v>
      </c>
      <c r="H36">
        <f>C36/100*B36</f>
        <v>48</v>
      </c>
      <c r="I36">
        <v>112</v>
      </c>
      <c r="J36">
        <v>224</v>
      </c>
      <c r="K36">
        <v>336</v>
      </c>
      <c r="L36">
        <v>420</v>
      </c>
      <c r="M36">
        <v>560</v>
      </c>
      <c r="O36">
        <v>112</v>
      </c>
      <c r="P36">
        <v>224</v>
      </c>
      <c r="Q36">
        <v>336</v>
      </c>
      <c r="R36">
        <v>420</v>
      </c>
      <c r="S36">
        <v>560</v>
      </c>
    </row>
    <row r="37" spans="2:19">
      <c r="B37">
        <v>350</v>
      </c>
      <c r="C37">
        <v>16</v>
      </c>
      <c r="D37">
        <v>32</v>
      </c>
      <c r="E37">
        <v>48</v>
      </c>
      <c r="F37">
        <v>60</v>
      </c>
      <c r="G37">
        <v>80</v>
      </c>
      <c r="H37">
        <f t="shared" ref="H37:H42" si="30">C37/100*B37</f>
        <v>56</v>
      </c>
      <c r="I37">
        <v>3.3</v>
      </c>
      <c r="J37">
        <v>6</v>
      </c>
      <c r="K37">
        <v>8</v>
      </c>
      <c r="L37">
        <v>9.3000000000000007</v>
      </c>
      <c r="M37">
        <v>10.9</v>
      </c>
      <c r="O37">
        <v>3.3</v>
      </c>
      <c r="P37">
        <v>6</v>
      </c>
      <c r="Q37">
        <v>8</v>
      </c>
      <c r="R37">
        <v>9.3000000000000007</v>
      </c>
      <c r="S37">
        <v>10.9</v>
      </c>
    </row>
    <row r="38" spans="2:19">
      <c r="B38">
        <v>400</v>
      </c>
      <c r="C38">
        <v>16</v>
      </c>
      <c r="D38">
        <v>32</v>
      </c>
      <c r="E38">
        <v>48</v>
      </c>
      <c r="F38">
        <v>60</v>
      </c>
      <c r="G38">
        <v>80</v>
      </c>
      <c r="H38">
        <f t="shared" si="30"/>
        <v>64</v>
      </c>
      <c r="I38">
        <f>I37*100/I36</f>
        <v>2.9464285714285716</v>
      </c>
      <c r="J38">
        <f>J37*100/J36</f>
        <v>2.6785714285714284</v>
      </c>
      <c r="K38">
        <f>K37*100/K36</f>
        <v>2.3809523809523809</v>
      </c>
      <c r="L38">
        <f>L37*100/L36</f>
        <v>2.2142857142857144</v>
      </c>
      <c r="M38">
        <f>M37*100/M36</f>
        <v>1.9464285714285714</v>
      </c>
      <c r="O38">
        <f>O36/O37</f>
        <v>33.939393939393938</v>
      </c>
      <c r="P38">
        <f>P36/P37</f>
        <v>37.333333333333336</v>
      </c>
      <c r="Q38">
        <f>Q36/Q37</f>
        <v>42</v>
      </c>
      <c r="R38">
        <f>R36/R37</f>
        <v>45.161290322580641</v>
      </c>
      <c r="S38">
        <f>S36/S37</f>
        <v>51.376146788990823</v>
      </c>
    </row>
    <row r="39" spans="2:19">
      <c r="B39">
        <v>450</v>
      </c>
      <c r="C39">
        <v>16</v>
      </c>
      <c r="D39">
        <v>32</v>
      </c>
      <c r="E39">
        <v>48</v>
      </c>
      <c r="F39">
        <v>60</v>
      </c>
      <c r="G39">
        <v>80</v>
      </c>
      <c r="H39">
        <f t="shared" si="30"/>
        <v>72</v>
      </c>
      <c r="I39">
        <v>5.2</v>
      </c>
      <c r="J39">
        <v>8.6999999999999993</v>
      </c>
      <c r="K39">
        <v>11.8</v>
      </c>
      <c r="L39">
        <v>13.9</v>
      </c>
      <c r="M39">
        <v>17.3</v>
      </c>
    </row>
    <row r="40" spans="2:19">
      <c r="B40">
        <v>500</v>
      </c>
      <c r="C40">
        <v>16</v>
      </c>
      <c r="D40">
        <v>32</v>
      </c>
      <c r="E40">
        <v>48</v>
      </c>
      <c r="F40">
        <v>60</v>
      </c>
      <c r="G40">
        <v>80</v>
      </c>
      <c r="H40">
        <f t="shared" si="30"/>
        <v>80</v>
      </c>
      <c r="I40">
        <f>I39/I37</f>
        <v>1.5757575757575759</v>
      </c>
      <c r="J40">
        <f>J39/J37</f>
        <v>1.45</v>
      </c>
      <c r="K40">
        <f>K39/K37</f>
        <v>1.4750000000000001</v>
      </c>
      <c r="L40">
        <f>L39/L37</f>
        <v>1.4946236559139785</v>
      </c>
      <c r="M40">
        <f>M39/M37</f>
        <v>1.5871559633027523</v>
      </c>
    </row>
    <row r="41" spans="2:19">
      <c r="B41">
        <v>600</v>
      </c>
      <c r="C41">
        <v>16</v>
      </c>
      <c r="D41">
        <v>32</v>
      </c>
      <c r="E41">
        <v>48</v>
      </c>
      <c r="F41">
        <v>60</v>
      </c>
      <c r="G41">
        <v>80</v>
      </c>
      <c r="H41">
        <f t="shared" si="30"/>
        <v>96</v>
      </c>
      <c r="I41">
        <v>8.5</v>
      </c>
      <c r="J41">
        <v>12.7</v>
      </c>
      <c r="K41">
        <v>16.600000000000001</v>
      </c>
      <c r="L41">
        <v>19.3</v>
      </c>
      <c r="M41">
        <v>27.7</v>
      </c>
    </row>
    <row r="42" spans="2:19">
      <c r="B42">
        <v>700</v>
      </c>
      <c r="C42">
        <v>16</v>
      </c>
      <c r="D42">
        <v>32</v>
      </c>
      <c r="E42">
        <v>48</v>
      </c>
      <c r="F42">
        <v>60</v>
      </c>
      <c r="G42">
        <v>80</v>
      </c>
      <c r="H42">
        <f t="shared" si="30"/>
        <v>112</v>
      </c>
      <c r="I42">
        <f>I41/I37</f>
        <v>2.5757575757575757</v>
      </c>
      <c r="J42">
        <f>J41/J37</f>
        <v>2.1166666666666667</v>
      </c>
      <c r="K42">
        <f>K41/K37</f>
        <v>2.0750000000000002</v>
      </c>
      <c r="L42">
        <f>L41/L37</f>
        <v>2.075268817204301</v>
      </c>
      <c r="M42">
        <f>M41/M37</f>
        <v>2.5412844036697244</v>
      </c>
    </row>
    <row r="43" spans="2:19">
      <c r="C43" t="s">
        <v>92</v>
      </c>
      <c r="D43" t="s">
        <v>93</v>
      </c>
      <c r="E43" t="s">
        <v>94</v>
      </c>
      <c r="F43" t="s">
        <v>95</v>
      </c>
      <c r="G43" t="s">
        <v>96</v>
      </c>
      <c r="H43" t="s">
        <v>97</v>
      </c>
      <c r="I43">
        <v>121</v>
      </c>
      <c r="J43">
        <v>228</v>
      </c>
      <c r="K43">
        <v>325</v>
      </c>
      <c r="L43">
        <v>389</v>
      </c>
      <c r="M43">
        <v>486</v>
      </c>
    </row>
    <row r="44" spans="2:19">
      <c r="B44">
        <v>100</v>
      </c>
      <c r="C44">
        <f>0.02*B44</f>
        <v>2</v>
      </c>
      <c r="D44">
        <f>C44*1.5</f>
        <v>3</v>
      </c>
      <c r="E44">
        <f>C44*2</f>
        <v>4</v>
      </c>
      <c r="F44">
        <f>D44+E44</f>
        <v>7</v>
      </c>
      <c r="G44">
        <f>C44*60</f>
        <v>120</v>
      </c>
      <c r="H44">
        <f>80*C44</f>
        <v>160</v>
      </c>
      <c r="I44">
        <f>I43/I37</f>
        <v>36.666666666666671</v>
      </c>
      <c r="J44">
        <f>J43/J37</f>
        <v>38</v>
      </c>
      <c r="K44">
        <f>K43/K37</f>
        <v>40.625</v>
      </c>
      <c r="L44">
        <f>L43/L37</f>
        <v>41.827956989247312</v>
      </c>
      <c r="M44">
        <f>M43/M37</f>
        <v>44.587155963302749</v>
      </c>
    </row>
    <row r="45" spans="2:19">
      <c r="B45">
        <v>150</v>
      </c>
      <c r="C45">
        <f t="shared" ref="C45:C54" si="31">0.02*B45</f>
        <v>3</v>
      </c>
      <c r="D45">
        <f t="shared" ref="D45:D54" si="32">C45*1.5</f>
        <v>4.5</v>
      </c>
      <c r="E45">
        <f t="shared" ref="E45:E54" si="33">C45*2</f>
        <v>6</v>
      </c>
      <c r="F45">
        <f t="shared" ref="F45:F54" si="34">D45+E45</f>
        <v>10.5</v>
      </c>
      <c r="G45">
        <f t="shared" ref="G45:G54" si="35">C45*60</f>
        <v>180</v>
      </c>
      <c r="H45">
        <f t="shared" ref="H45:H54" si="36">80*C45</f>
        <v>240</v>
      </c>
      <c r="I45">
        <f>I44/0.62</f>
        <v>59.139784946236567</v>
      </c>
      <c r="J45">
        <f>J44/0.62</f>
        <v>61.29032258064516</v>
      </c>
      <c r="K45">
        <f>K44/0.62</f>
        <v>65.524193548387103</v>
      </c>
      <c r="L45">
        <f>L44/0.62</f>
        <v>67.464446756850506</v>
      </c>
      <c r="M45">
        <f>M44/0.62</f>
        <v>71.914767682746373</v>
      </c>
    </row>
    <row r="46" spans="2:19">
      <c r="B46">
        <v>200</v>
      </c>
      <c r="C46">
        <f t="shared" si="31"/>
        <v>4</v>
      </c>
      <c r="D46">
        <f t="shared" si="32"/>
        <v>6</v>
      </c>
      <c r="E46">
        <f t="shared" si="33"/>
        <v>8</v>
      </c>
      <c r="F46">
        <f t="shared" si="34"/>
        <v>14</v>
      </c>
      <c r="G46">
        <f t="shared" si="35"/>
        <v>240</v>
      </c>
      <c r="H46">
        <f t="shared" si="36"/>
        <v>320</v>
      </c>
      <c r="I46">
        <v>416</v>
      </c>
      <c r="J46">
        <v>573</v>
      </c>
      <c r="K46">
        <v>679</v>
      </c>
      <c r="L46">
        <v>732</v>
      </c>
      <c r="M46">
        <v>939</v>
      </c>
    </row>
    <row r="47" spans="2:19">
      <c r="B47">
        <v>250</v>
      </c>
      <c r="C47">
        <f t="shared" si="31"/>
        <v>5</v>
      </c>
      <c r="D47">
        <f t="shared" si="32"/>
        <v>7.5</v>
      </c>
      <c r="E47">
        <f t="shared" si="33"/>
        <v>10</v>
      </c>
      <c r="F47">
        <f t="shared" si="34"/>
        <v>17.5</v>
      </c>
      <c r="G47">
        <f t="shared" si="35"/>
        <v>300</v>
      </c>
      <c r="H47">
        <f t="shared" si="36"/>
        <v>400</v>
      </c>
      <c r="I47">
        <f>I46/I37</f>
        <v>126.06060606060606</v>
      </c>
      <c r="J47">
        <f>J46/J37</f>
        <v>95.5</v>
      </c>
      <c r="K47">
        <f>K46/K37</f>
        <v>84.875</v>
      </c>
      <c r="L47">
        <f>L46/L37</f>
        <v>78.709677419354833</v>
      </c>
      <c r="M47">
        <f>M46/M37</f>
        <v>86.146788990825684</v>
      </c>
    </row>
    <row r="48" spans="2:19">
      <c r="B48">
        <v>300</v>
      </c>
      <c r="C48">
        <f t="shared" si="31"/>
        <v>6</v>
      </c>
      <c r="D48">
        <f t="shared" si="32"/>
        <v>9</v>
      </c>
      <c r="E48">
        <f t="shared" si="33"/>
        <v>12</v>
      </c>
      <c r="F48">
        <f t="shared" si="34"/>
        <v>21</v>
      </c>
      <c r="G48">
        <f t="shared" si="35"/>
        <v>360</v>
      </c>
      <c r="H48">
        <f t="shared" si="36"/>
        <v>480</v>
      </c>
      <c r="I48">
        <f>I47/0.6</f>
        <v>210.1010101010101</v>
      </c>
      <c r="J48">
        <f>J47/0.6</f>
        <v>159.16666666666669</v>
      </c>
      <c r="K48">
        <f>K47/0.6</f>
        <v>141.45833333333334</v>
      </c>
      <c r="L48">
        <f>L47/0.6</f>
        <v>131.18279569892474</v>
      </c>
      <c r="M48">
        <f>M47/0.6</f>
        <v>143.57798165137615</v>
      </c>
    </row>
    <row r="49" spans="2:20">
      <c r="B49">
        <v>350</v>
      </c>
      <c r="C49">
        <f t="shared" si="31"/>
        <v>7</v>
      </c>
      <c r="D49">
        <f t="shared" si="32"/>
        <v>10.5</v>
      </c>
      <c r="E49">
        <f t="shared" si="33"/>
        <v>14</v>
      </c>
      <c r="F49">
        <f t="shared" si="34"/>
        <v>24.5</v>
      </c>
      <c r="G49">
        <f t="shared" si="35"/>
        <v>420</v>
      </c>
      <c r="H49">
        <f t="shared" si="36"/>
        <v>560</v>
      </c>
    </row>
    <row r="50" spans="2:20">
      <c r="B50">
        <v>400</v>
      </c>
      <c r="C50">
        <f t="shared" si="31"/>
        <v>8</v>
      </c>
      <c r="D50">
        <f t="shared" si="32"/>
        <v>12</v>
      </c>
      <c r="E50">
        <f t="shared" si="33"/>
        <v>16</v>
      </c>
      <c r="F50">
        <f t="shared" si="34"/>
        <v>28</v>
      </c>
      <c r="G50">
        <f t="shared" si="35"/>
        <v>480</v>
      </c>
      <c r="H50">
        <f t="shared" si="36"/>
        <v>640</v>
      </c>
    </row>
    <row r="51" spans="2:20">
      <c r="B51">
        <v>450</v>
      </c>
      <c r="C51">
        <f t="shared" si="31"/>
        <v>9</v>
      </c>
      <c r="D51">
        <f t="shared" si="32"/>
        <v>13.5</v>
      </c>
      <c r="E51">
        <f t="shared" si="33"/>
        <v>18</v>
      </c>
      <c r="F51">
        <f t="shared" si="34"/>
        <v>31.5</v>
      </c>
      <c r="G51">
        <f t="shared" si="35"/>
        <v>540</v>
      </c>
      <c r="H51">
        <f t="shared" si="36"/>
        <v>720</v>
      </c>
    </row>
    <row r="52" spans="2:20">
      <c r="B52">
        <v>500</v>
      </c>
      <c r="C52">
        <f t="shared" si="31"/>
        <v>10</v>
      </c>
      <c r="D52">
        <f t="shared" si="32"/>
        <v>15</v>
      </c>
      <c r="E52">
        <f t="shared" si="33"/>
        <v>20</v>
      </c>
      <c r="F52">
        <f t="shared" si="34"/>
        <v>35</v>
      </c>
      <c r="G52">
        <f t="shared" si="35"/>
        <v>600</v>
      </c>
      <c r="H52">
        <f t="shared" si="36"/>
        <v>800</v>
      </c>
      <c r="M52" t="s">
        <v>98</v>
      </c>
      <c r="Q52" t="s">
        <v>99</v>
      </c>
    </row>
    <row r="53" spans="2:20">
      <c r="B53">
        <v>550</v>
      </c>
      <c r="C53">
        <f t="shared" si="31"/>
        <v>11</v>
      </c>
      <c r="D53">
        <f t="shared" si="32"/>
        <v>16.5</v>
      </c>
      <c r="E53">
        <f t="shared" si="33"/>
        <v>22</v>
      </c>
      <c r="F53">
        <f t="shared" si="34"/>
        <v>38.5</v>
      </c>
      <c r="G53">
        <f t="shared" si="35"/>
        <v>660</v>
      </c>
      <c r="H53">
        <f t="shared" si="36"/>
        <v>880</v>
      </c>
      <c r="M53" t="s">
        <v>100</v>
      </c>
      <c r="N53" t="s">
        <v>25</v>
      </c>
      <c r="O53" t="s">
        <v>45</v>
      </c>
      <c r="P53" t="s">
        <v>46</v>
      </c>
      <c r="Q53" t="s">
        <v>100</v>
      </c>
      <c r="R53" t="s">
        <v>25</v>
      </c>
      <c r="S53" t="s">
        <v>45</v>
      </c>
      <c r="T53" t="s">
        <v>46</v>
      </c>
    </row>
    <row r="54" spans="2:20">
      <c r="B54">
        <v>600</v>
      </c>
      <c r="C54">
        <f t="shared" si="31"/>
        <v>12</v>
      </c>
      <c r="D54">
        <f t="shared" si="32"/>
        <v>18</v>
      </c>
      <c r="E54">
        <f t="shared" si="33"/>
        <v>24</v>
      </c>
      <c r="F54">
        <f t="shared" si="34"/>
        <v>42</v>
      </c>
      <c r="G54">
        <f t="shared" si="35"/>
        <v>720</v>
      </c>
      <c r="H54">
        <f t="shared" si="36"/>
        <v>960</v>
      </c>
      <c r="M54">
        <v>450</v>
      </c>
      <c r="N54">
        <f>0.0187*M54</f>
        <v>8.4150000000000009</v>
      </c>
      <c r="O54">
        <f>N54*2.19</f>
        <v>18.428850000000001</v>
      </c>
      <c r="P54">
        <f>13.7/100*N54</f>
        <v>1.152855</v>
      </c>
      <c r="Q54">
        <v>700</v>
      </c>
      <c r="R54">
        <f>0.0166*Q54</f>
        <v>11.620000000000001</v>
      </c>
      <c r="S54">
        <f>R54*2.25</f>
        <v>26.145000000000003</v>
      </c>
      <c r="T54">
        <f>14.3/100*R54</f>
        <v>1.6616600000000004</v>
      </c>
    </row>
    <row r="57" spans="2:20">
      <c r="M57" t="s">
        <v>101</v>
      </c>
      <c r="N57" t="s">
        <v>25</v>
      </c>
      <c r="O57" t="s">
        <v>45</v>
      </c>
      <c r="P57" t="s">
        <v>46</v>
      </c>
      <c r="Q57" t="s">
        <v>101</v>
      </c>
      <c r="R57" t="s">
        <v>25</v>
      </c>
      <c r="S57" t="s">
        <v>45</v>
      </c>
      <c r="T57" t="s">
        <v>46</v>
      </c>
    </row>
    <row r="58" spans="2:20">
      <c r="C58" t="s">
        <v>92</v>
      </c>
      <c r="D58" t="s">
        <v>93</v>
      </c>
      <c r="E58" t="s">
        <v>94</v>
      </c>
      <c r="F58" t="s">
        <v>95</v>
      </c>
      <c r="G58" t="s">
        <v>96</v>
      </c>
      <c r="H58" t="s">
        <v>97</v>
      </c>
      <c r="I58" t="s">
        <v>102</v>
      </c>
      <c r="J58" t="s">
        <v>103</v>
      </c>
      <c r="M58">
        <v>450</v>
      </c>
      <c r="N58">
        <f>0.017*M58</f>
        <v>7.65</v>
      </c>
      <c r="O58">
        <f>N58*2.04</f>
        <v>15.606000000000002</v>
      </c>
      <c r="P58">
        <f>11.8/100*N58</f>
        <v>0.90270000000000006</v>
      </c>
      <c r="Q58" s="3">
        <v>700</v>
      </c>
      <c r="R58" s="3">
        <f>0.0187*Q58</f>
        <v>13.090000000000002</v>
      </c>
      <c r="S58" s="3">
        <f>R58*1.93</f>
        <v>25.263700000000004</v>
      </c>
      <c r="T58" s="3">
        <f>11.9/100*R58</f>
        <v>1.5577100000000004</v>
      </c>
    </row>
    <row r="59" spans="2:20">
      <c r="B59">
        <v>100</v>
      </c>
      <c r="C59">
        <f t="shared" ref="C59:C69" si="37">0.02*B59</f>
        <v>2</v>
      </c>
      <c r="D59">
        <f t="shared" ref="D59:D69" si="38">C59*1.5</f>
        <v>3</v>
      </c>
      <c r="E59">
        <f t="shared" ref="E59:E69" si="39">C59*2</f>
        <v>4</v>
      </c>
      <c r="F59">
        <f t="shared" ref="F59:F69" si="40">D59+E59</f>
        <v>7</v>
      </c>
      <c r="G59">
        <f t="shared" ref="G59:G69" si="41">C59*60</f>
        <v>120</v>
      </c>
      <c r="H59">
        <f>130*C59</f>
        <v>260</v>
      </c>
      <c r="I59">
        <f>SUM(G59:H59)</f>
        <v>380</v>
      </c>
      <c r="J59">
        <f>I59/1000</f>
        <v>0.38</v>
      </c>
      <c r="L59" s="25" t="s">
        <v>104</v>
      </c>
      <c r="M59" s="25" t="s">
        <v>105</v>
      </c>
      <c r="N59" s="25" t="s">
        <v>106</v>
      </c>
      <c r="O59" s="25" t="s">
        <v>107</v>
      </c>
      <c r="P59" s="25" t="s">
        <v>108</v>
      </c>
      <c r="Q59" s="25" t="s">
        <v>109</v>
      </c>
      <c r="R59" s="25" t="s">
        <v>70</v>
      </c>
      <c r="S59" s="25" t="s">
        <v>110</v>
      </c>
      <c r="T59" s="25" t="s">
        <v>111</v>
      </c>
    </row>
    <row r="60" spans="2:20">
      <c r="B60">
        <v>150</v>
      </c>
      <c r="C60">
        <f t="shared" si="37"/>
        <v>3</v>
      </c>
      <c r="D60">
        <f t="shared" si="38"/>
        <v>4.5</v>
      </c>
      <c r="E60">
        <f t="shared" si="39"/>
        <v>6</v>
      </c>
      <c r="F60">
        <f t="shared" si="40"/>
        <v>10.5</v>
      </c>
      <c r="G60">
        <f t="shared" si="41"/>
        <v>180</v>
      </c>
      <c r="H60">
        <f t="shared" ref="H60:H69" si="42">130*C60</f>
        <v>390</v>
      </c>
      <c r="I60">
        <f t="shared" ref="I60:I69" si="43">SUM(G60:H60)</f>
        <v>570</v>
      </c>
      <c r="J60">
        <f t="shared" ref="J60:J69" si="44">I60/1000</f>
        <v>0.56999999999999995</v>
      </c>
      <c r="L60" s="4" t="s">
        <v>112</v>
      </c>
      <c r="M60" s="4">
        <v>29.6</v>
      </c>
      <c r="N60" s="4">
        <v>2.2999999999999998</v>
      </c>
      <c r="O60" s="4">
        <v>9.6999999999999993</v>
      </c>
      <c r="P60" s="4">
        <v>58.5</v>
      </c>
      <c r="Q60" s="4">
        <v>34.1</v>
      </c>
      <c r="R60" s="4"/>
      <c r="S60" s="4">
        <v>6.4</v>
      </c>
      <c r="T60" s="4">
        <v>62.5</v>
      </c>
    </row>
    <row r="61" spans="2:20">
      <c r="B61">
        <v>200</v>
      </c>
      <c r="C61">
        <f t="shared" si="37"/>
        <v>4</v>
      </c>
      <c r="D61">
        <f t="shared" si="38"/>
        <v>6</v>
      </c>
      <c r="E61">
        <f t="shared" si="39"/>
        <v>8</v>
      </c>
      <c r="F61">
        <f t="shared" si="40"/>
        <v>14</v>
      </c>
      <c r="G61">
        <f t="shared" si="41"/>
        <v>240</v>
      </c>
      <c r="H61">
        <f t="shared" si="42"/>
        <v>520</v>
      </c>
      <c r="I61">
        <f t="shared" si="43"/>
        <v>760</v>
      </c>
      <c r="J61">
        <f t="shared" si="44"/>
        <v>0.76</v>
      </c>
      <c r="L61" s="4" t="s">
        <v>113</v>
      </c>
      <c r="M61" s="4">
        <v>23.3</v>
      </c>
      <c r="N61" s="4">
        <v>2.2000000000000002</v>
      </c>
      <c r="O61" s="4">
        <v>8.9</v>
      </c>
      <c r="P61" s="4">
        <v>59.5</v>
      </c>
      <c r="Q61" s="4">
        <v>35</v>
      </c>
      <c r="R61" s="4"/>
      <c r="S61" s="4">
        <v>9.4</v>
      </c>
      <c r="T61" s="4">
        <v>61.9</v>
      </c>
    </row>
    <row r="62" spans="2:20">
      <c r="B62">
        <v>250</v>
      </c>
      <c r="C62">
        <f t="shared" si="37"/>
        <v>5</v>
      </c>
      <c r="D62">
        <f t="shared" si="38"/>
        <v>7.5</v>
      </c>
      <c r="E62">
        <f t="shared" si="39"/>
        <v>10</v>
      </c>
      <c r="F62">
        <f t="shared" si="40"/>
        <v>17.5</v>
      </c>
      <c r="G62">
        <f t="shared" si="41"/>
        <v>300</v>
      </c>
      <c r="H62">
        <f t="shared" si="42"/>
        <v>650</v>
      </c>
      <c r="I62">
        <f t="shared" si="43"/>
        <v>950</v>
      </c>
      <c r="J62">
        <f t="shared" si="44"/>
        <v>0.95</v>
      </c>
      <c r="L62" s="4" t="s">
        <v>114</v>
      </c>
      <c r="M62" s="4"/>
      <c r="N62" s="4"/>
      <c r="O62" s="4"/>
      <c r="P62" s="4"/>
      <c r="Q62" s="4"/>
      <c r="R62" s="4"/>
      <c r="S62" s="4"/>
      <c r="T62" s="4"/>
    </row>
    <row r="63" spans="2:20">
      <c r="B63">
        <v>300</v>
      </c>
      <c r="C63">
        <f t="shared" si="37"/>
        <v>6</v>
      </c>
      <c r="D63">
        <f t="shared" si="38"/>
        <v>9</v>
      </c>
      <c r="E63">
        <f t="shared" si="39"/>
        <v>12</v>
      </c>
      <c r="F63">
        <f t="shared" si="40"/>
        <v>21</v>
      </c>
      <c r="G63">
        <f t="shared" si="41"/>
        <v>360</v>
      </c>
      <c r="H63">
        <f t="shared" si="42"/>
        <v>780</v>
      </c>
      <c r="I63">
        <f t="shared" si="43"/>
        <v>1140</v>
      </c>
      <c r="J63">
        <f t="shared" si="44"/>
        <v>1.1399999999999999</v>
      </c>
      <c r="L63" s="4" t="s">
        <v>115</v>
      </c>
      <c r="M63" s="4">
        <v>85.5</v>
      </c>
      <c r="N63" s="4">
        <v>1.8</v>
      </c>
      <c r="O63" s="4">
        <v>6.6</v>
      </c>
      <c r="P63" s="4">
        <v>68.3</v>
      </c>
      <c r="Q63" s="4">
        <v>39</v>
      </c>
      <c r="R63" s="4"/>
      <c r="S63" s="4">
        <v>9</v>
      </c>
      <c r="T63" s="4">
        <v>48.5</v>
      </c>
    </row>
    <row r="64" spans="2:20">
      <c r="B64">
        <v>350</v>
      </c>
      <c r="C64">
        <f t="shared" si="37"/>
        <v>7</v>
      </c>
      <c r="D64">
        <f t="shared" si="38"/>
        <v>10.5</v>
      </c>
      <c r="E64">
        <f t="shared" si="39"/>
        <v>14</v>
      </c>
      <c r="F64">
        <f t="shared" si="40"/>
        <v>24.5</v>
      </c>
      <c r="G64">
        <f t="shared" si="41"/>
        <v>420</v>
      </c>
      <c r="H64">
        <f t="shared" si="42"/>
        <v>910</v>
      </c>
      <c r="I64">
        <f t="shared" si="43"/>
        <v>1330</v>
      </c>
      <c r="J64">
        <f t="shared" si="44"/>
        <v>1.33</v>
      </c>
      <c r="L64" s="4" t="s">
        <v>116</v>
      </c>
      <c r="M64" s="4">
        <v>12.5</v>
      </c>
      <c r="N64" s="4">
        <v>2.2999999999999998</v>
      </c>
      <c r="O64" s="4">
        <v>23.3</v>
      </c>
      <c r="P64" s="4">
        <v>44.1</v>
      </c>
      <c r="Q64" s="4">
        <v>31.4</v>
      </c>
      <c r="R64" s="4"/>
      <c r="S64" s="4">
        <v>14.8</v>
      </c>
      <c r="T64" s="4">
        <v>63.4</v>
      </c>
    </row>
    <row r="65" spans="2:20">
      <c r="B65">
        <v>400</v>
      </c>
      <c r="C65">
        <f t="shared" si="37"/>
        <v>8</v>
      </c>
      <c r="D65">
        <f t="shared" si="38"/>
        <v>12</v>
      </c>
      <c r="E65">
        <f t="shared" si="39"/>
        <v>16</v>
      </c>
      <c r="F65">
        <f t="shared" si="40"/>
        <v>28</v>
      </c>
      <c r="G65">
        <f t="shared" si="41"/>
        <v>480</v>
      </c>
      <c r="H65">
        <f t="shared" si="42"/>
        <v>1040</v>
      </c>
      <c r="I65">
        <f t="shared" si="43"/>
        <v>1520</v>
      </c>
      <c r="J65">
        <f t="shared" si="44"/>
        <v>1.52</v>
      </c>
      <c r="L65" s="4" t="s">
        <v>117</v>
      </c>
      <c r="M65" s="4">
        <v>35.200000000000003</v>
      </c>
      <c r="N65" s="4">
        <v>1.9</v>
      </c>
      <c r="O65" s="4">
        <v>15.8</v>
      </c>
      <c r="P65" s="4">
        <v>46.7</v>
      </c>
      <c r="Q65" s="4">
        <v>37</v>
      </c>
      <c r="R65" s="4"/>
      <c r="S65" s="4">
        <v>6.4</v>
      </c>
      <c r="T65" s="4">
        <v>56.89</v>
      </c>
    </row>
    <row r="66" spans="2:20">
      <c r="B66">
        <v>450</v>
      </c>
      <c r="C66">
        <f t="shared" si="37"/>
        <v>9</v>
      </c>
      <c r="D66">
        <f t="shared" si="38"/>
        <v>13.5</v>
      </c>
      <c r="E66">
        <f t="shared" si="39"/>
        <v>18</v>
      </c>
      <c r="F66">
        <f t="shared" si="40"/>
        <v>31.5</v>
      </c>
      <c r="G66">
        <f t="shared" si="41"/>
        <v>540</v>
      </c>
      <c r="H66">
        <f t="shared" si="42"/>
        <v>1170</v>
      </c>
      <c r="I66">
        <f t="shared" si="43"/>
        <v>1710</v>
      </c>
      <c r="J66">
        <f t="shared" si="44"/>
        <v>1.71</v>
      </c>
      <c r="L66" s="4" t="s">
        <v>118</v>
      </c>
      <c r="M66" s="4"/>
      <c r="N66" s="4"/>
      <c r="O66" s="4"/>
      <c r="P66" s="4"/>
      <c r="Q66" s="4"/>
      <c r="R66" s="4"/>
      <c r="S66" s="4"/>
      <c r="T66" s="4"/>
    </row>
    <row r="67" spans="2:20">
      <c r="B67">
        <v>500</v>
      </c>
      <c r="C67">
        <f t="shared" si="37"/>
        <v>10</v>
      </c>
      <c r="D67">
        <f t="shared" si="38"/>
        <v>15</v>
      </c>
      <c r="E67">
        <f t="shared" si="39"/>
        <v>20</v>
      </c>
      <c r="F67">
        <f t="shared" si="40"/>
        <v>35</v>
      </c>
      <c r="G67">
        <f t="shared" si="41"/>
        <v>600</v>
      </c>
      <c r="H67">
        <f t="shared" si="42"/>
        <v>1300</v>
      </c>
      <c r="I67">
        <f t="shared" si="43"/>
        <v>1900</v>
      </c>
      <c r="J67">
        <f t="shared" si="44"/>
        <v>1.9</v>
      </c>
      <c r="L67" s="4" t="s">
        <v>119</v>
      </c>
      <c r="M67" s="4"/>
      <c r="N67" s="4"/>
      <c r="O67" s="4"/>
      <c r="P67" s="4"/>
      <c r="Q67" s="4"/>
      <c r="R67" s="4"/>
      <c r="S67" s="4"/>
      <c r="T67" s="4"/>
    </row>
    <row r="68" spans="2:20">
      <c r="B68">
        <v>550</v>
      </c>
      <c r="C68">
        <f t="shared" si="37"/>
        <v>11</v>
      </c>
      <c r="D68">
        <f t="shared" si="38"/>
        <v>16.5</v>
      </c>
      <c r="E68">
        <f t="shared" si="39"/>
        <v>22</v>
      </c>
      <c r="F68">
        <f t="shared" si="40"/>
        <v>38.5</v>
      </c>
      <c r="G68">
        <f t="shared" si="41"/>
        <v>660</v>
      </c>
      <c r="H68">
        <f t="shared" si="42"/>
        <v>1430</v>
      </c>
      <c r="I68">
        <f t="shared" si="43"/>
        <v>2090</v>
      </c>
      <c r="J68">
        <f t="shared" si="44"/>
        <v>2.09</v>
      </c>
      <c r="L68" s="4" t="s">
        <v>120</v>
      </c>
      <c r="M68" s="4">
        <v>17.899999999999999</v>
      </c>
      <c r="N68" s="4">
        <v>2.2999999999999998</v>
      </c>
      <c r="O68" s="4">
        <v>11.6</v>
      </c>
      <c r="P68" s="4">
        <v>62.5</v>
      </c>
      <c r="Q68" s="4">
        <v>34.700000000000003</v>
      </c>
      <c r="R68" s="4"/>
      <c r="S68" s="4">
        <v>10.1</v>
      </c>
      <c r="T68" s="4">
        <v>62.3</v>
      </c>
    </row>
    <row r="69" spans="2:20">
      <c r="B69">
        <v>600</v>
      </c>
      <c r="C69">
        <f t="shared" si="37"/>
        <v>12</v>
      </c>
      <c r="D69">
        <f t="shared" si="38"/>
        <v>18</v>
      </c>
      <c r="E69">
        <f t="shared" si="39"/>
        <v>24</v>
      </c>
      <c r="F69">
        <f t="shared" si="40"/>
        <v>42</v>
      </c>
      <c r="G69">
        <f t="shared" si="41"/>
        <v>720</v>
      </c>
      <c r="H69">
        <f t="shared" si="42"/>
        <v>1560</v>
      </c>
      <c r="I69">
        <f t="shared" si="43"/>
        <v>2280</v>
      </c>
      <c r="J69">
        <f t="shared" si="44"/>
        <v>2.2799999999999998</v>
      </c>
      <c r="L69" s="4" t="s">
        <v>121</v>
      </c>
      <c r="M69" s="4">
        <v>91</v>
      </c>
      <c r="N69" s="4">
        <v>1.5</v>
      </c>
      <c r="O69" s="4">
        <v>4.8</v>
      </c>
      <c r="P69" s="4">
        <v>71.8</v>
      </c>
      <c r="Q69" s="4">
        <v>43.8</v>
      </c>
      <c r="R69" s="4"/>
      <c r="S69" s="4">
        <v>6.7</v>
      </c>
      <c r="T69" s="4">
        <v>41.5</v>
      </c>
    </row>
    <row r="70" spans="2:20">
      <c r="L70" s="4" t="s">
        <v>122</v>
      </c>
      <c r="M70" s="4">
        <v>87.3</v>
      </c>
      <c r="N70" s="4">
        <v>3.2</v>
      </c>
      <c r="O70" s="4">
        <v>9.1</v>
      </c>
      <c r="P70" s="4">
        <v>10.6</v>
      </c>
      <c r="Q70" s="4">
        <v>2.7</v>
      </c>
      <c r="R70" s="4">
        <v>73.400000000000006</v>
      </c>
      <c r="S70" s="4">
        <v>1.5</v>
      </c>
      <c r="T70" s="4">
        <v>88.1</v>
      </c>
    </row>
    <row r="71" spans="2:20">
      <c r="L71" s="4" t="s">
        <v>123</v>
      </c>
      <c r="M71" s="4">
        <v>87</v>
      </c>
      <c r="N71" s="4">
        <v>3.2</v>
      </c>
      <c r="O71" s="4">
        <v>14.4</v>
      </c>
      <c r="P71" s="4">
        <v>16.899999999999999</v>
      </c>
      <c r="Q71" s="4">
        <v>4.7</v>
      </c>
      <c r="R71" s="4">
        <v>69.099999999999994</v>
      </c>
      <c r="S71" s="4">
        <v>3.4</v>
      </c>
      <c r="T71" s="4">
        <v>88.3</v>
      </c>
    </row>
    <row r="72" spans="2:20">
      <c r="L72" s="4" t="s">
        <v>124</v>
      </c>
      <c r="M72" s="4"/>
      <c r="N72" s="4"/>
      <c r="O72" s="4"/>
      <c r="P72" s="4"/>
      <c r="Q72" s="4"/>
      <c r="R72" s="4"/>
      <c r="S72" s="4"/>
      <c r="T72" s="4"/>
    </row>
    <row r="73" spans="2:20">
      <c r="C73" t="s">
        <v>25</v>
      </c>
      <c r="D73" t="s">
        <v>93</v>
      </c>
      <c r="E73" t="s">
        <v>94</v>
      </c>
      <c r="F73" t="s">
        <v>95</v>
      </c>
      <c r="G73" t="s">
        <v>96</v>
      </c>
      <c r="H73" t="s">
        <v>97</v>
      </c>
      <c r="I73" t="s">
        <v>102</v>
      </c>
      <c r="J73" t="s">
        <v>103</v>
      </c>
      <c r="L73" s="4" t="s">
        <v>125</v>
      </c>
      <c r="M73" s="4">
        <v>87.9</v>
      </c>
      <c r="N73" s="4">
        <v>3.1</v>
      </c>
      <c r="O73" s="4">
        <v>48</v>
      </c>
      <c r="P73" s="4">
        <v>16.600000000000001</v>
      </c>
      <c r="Q73" s="4">
        <v>7</v>
      </c>
      <c r="R73" s="4">
        <v>6.3</v>
      </c>
      <c r="S73" s="4">
        <v>6.6</v>
      </c>
      <c r="T73" s="4">
        <v>84.3</v>
      </c>
    </row>
    <row r="74" spans="2:20">
      <c r="B74">
        <v>40</v>
      </c>
      <c r="C74" s="28">
        <f>B74/40</f>
        <v>1</v>
      </c>
      <c r="D74">
        <f>1.2*C74</f>
        <v>1.2</v>
      </c>
      <c r="E74">
        <f>C74*2</f>
        <v>2</v>
      </c>
      <c r="F74" s="28">
        <f>D74+E74</f>
        <v>3.2</v>
      </c>
      <c r="G74">
        <f>C74*60</f>
        <v>60</v>
      </c>
      <c r="H74">
        <f>130*C74</f>
        <v>130</v>
      </c>
      <c r="I74">
        <f>SUM(G74:H74)</f>
        <v>190</v>
      </c>
      <c r="J74" s="28">
        <f>I74/1000</f>
        <v>0.19</v>
      </c>
      <c r="L74" s="4" t="s">
        <v>126</v>
      </c>
      <c r="M74" s="4">
        <v>88.8</v>
      </c>
      <c r="N74" s="4">
        <v>2.5</v>
      </c>
      <c r="O74" s="4">
        <v>39.6</v>
      </c>
      <c r="P74" s="4">
        <v>31.2</v>
      </c>
      <c r="Q74" s="4">
        <v>19.7</v>
      </c>
      <c r="R74" s="4">
        <v>6</v>
      </c>
      <c r="S74" s="4">
        <v>7.1</v>
      </c>
      <c r="T74" s="4">
        <v>70.099999999999994</v>
      </c>
    </row>
    <row r="75" spans="2:20">
      <c r="B75">
        <v>60</v>
      </c>
      <c r="C75" s="28">
        <f t="shared" ref="C75:C80" si="45">B75/40</f>
        <v>1.5</v>
      </c>
      <c r="D75">
        <f t="shared" ref="D75:D80" si="46">1.2*C75</f>
        <v>1.7999999999999998</v>
      </c>
      <c r="E75">
        <f t="shared" ref="E75:E80" si="47">C75*2</f>
        <v>3</v>
      </c>
      <c r="F75" s="28">
        <f t="shared" ref="F75:F80" si="48">D75+E75</f>
        <v>4.8</v>
      </c>
      <c r="G75">
        <f t="shared" ref="G75:G80" si="49">C75*60</f>
        <v>90</v>
      </c>
      <c r="H75">
        <f t="shared" ref="H75:H80" si="50">130*C75</f>
        <v>195</v>
      </c>
      <c r="I75">
        <f t="shared" ref="I75:I80" si="51">SUM(G75:H75)</f>
        <v>285</v>
      </c>
      <c r="J75" s="28">
        <f t="shared" ref="J75:J80" si="52">I75/1000</f>
        <v>0.28499999999999998</v>
      </c>
      <c r="L75" s="4" t="s">
        <v>127</v>
      </c>
      <c r="M75" s="4">
        <v>89.9</v>
      </c>
      <c r="N75" s="4">
        <v>2.7</v>
      </c>
      <c r="O75" s="4">
        <v>34.299999999999997</v>
      </c>
      <c r="P75" s="4">
        <v>25.5</v>
      </c>
      <c r="Q75" s="4">
        <v>16.7</v>
      </c>
      <c r="R75" s="4"/>
      <c r="S75" s="4">
        <v>6.8</v>
      </c>
      <c r="T75" s="4">
        <v>73.5</v>
      </c>
    </row>
    <row r="76" spans="2:20">
      <c r="B76">
        <v>80</v>
      </c>
      <c r="C76" s="28">
        <f t="shared" si="45"/>
        <v>2</v>
      </c>
      <c r="D76">
        <f t="shared" si="46"/>
        <v>2.4</v>
      </c>
      <c r="E76">
        <f t="shared" si="47"/>
        <v>4</v>
      </c>
      <c r="F76" s="28">
        <f t="shared" si="48"/>
        <v>6.4</v>
      </c>
      <c r="G76">
        <f t="shared" si="49"/>
        <v>120</v>
      </c>
      <c r="H76">
        <f t="shared" si="50"/>
        <v>260</v>
      </c>
      <c r="I76">
        <f t="shared" si="51"/>
        <v>380</v>
      </c>
      <c r="J76" s="28">
        <f t="shared" si="52"/>
        <v>0.38</v>
      </c>
      <c r="L76" s="4" t="s">
        <v>128</v>
      </c>
      <c r="M76" s="4">
        <v>90</v>
      </c>
      <c r="N76" s="4">
        <v>2.8</v>
      </c>
      <c r="O76" s="4">
        <v>59.7</v>
      </c>
      <c r="P76" s="4">
        <v>18</v>
      </c>
      <c r="Q76" s="4">
        <v>9.1999999999999993</v>
      </c>
      <c r="R76" s="4"/>
      <c r="S76" s="4">
        <v>1.9</v>
      </c>
      <c r="T76" s="4">
        <v>78.099999999999994</v>
      </c>
    </row>
    <row r="77" spans="2:20">
      <c r="B77">
        <v>100</v>
      </c>
      <c r="C77" s="28">
        <f t="shared" si="45"/>
        <v>2.5</v>
      </c>
      <c r="D77">
        <f t="shared" si="46"/>
        <v>3</v>
      </c>
      <c r="E77">
        <f t="shared" si="47"/>
        <v>5</v>
      </c>
      <c r="F77" s="28">
        <f t="shared" si="48"/>
        <v>8</v>
      </c>
      <c r="G77">
        <f t="shared" si="49"/>
        <v>150</v>
      </c>
      <c r="H77">
        <f t="shared" si="50"/>
        <v>325</v>
      </c>
      <c r="I77">
        <f t="shared" si="51"/>
        <v>475</v>
      </c>
      <c r="J77" s="28">
        <f t="shared" si="52"/>
        <v>0.47499999999999998</v>
      </c>
      <c r="L77" s="4" t="s">
        <v>129</v>
      </c>
      <c r="M77" s="4">
        <v>88.3</v>
      </c>
      <c r="N77" s="4">
        <v>2.8</v>
      </c>
      <c r="O77" s="4">
        <v>29</v>
      </c>
      <c r="P77" s="4">
        <v>30.6</v>
      </c>
      <c r="Q77" s="4">
        <v>9.4</v>
      </c>
      <c r="R77" s="4"/>
      <c r="S77" s="4">
        <v>7.3</v>
      </c>
      <c r="T77" s="4">
        <v>77.7</v>
      </c>
    </row>
    <row r="78" spans="2:20">
      <c r="B78">
        <v>130</v>
      </c>
      <c r="C78" s="28">
        <f t="shared" si="45"/>
        <v>3.25</v>
      </c>
      <c r="D78">
        <f t="shared" si="46"/>
        <v>3.9</v>
      </c>
      <c r="E78">
        <f t="shared" si="47"/>
        <v>6.5</v>
      </c>
      <c r="F78" s="28">
        <f t="shared" si="48"/>
        <v>10.4</v>
      </c>
      <c r="G78">
        <f t="shared" si="49"/>
        <v>195</v>
      </c>
      <c r="H78">
        <f t="shared" si="50"/>
        <v>422.5</v>
      </c>
      <c r="I78">
        <f t="shared" si="51"/>
        <v>617.5</v>
      </c>
      <c r="J78" s="28">
        <f t="shared" si="52"/>
        <v>0.61750000000000005</v>
      </c>
      <c r="L78" s="4" t="s">
        <v>130</v>
      </c>
      <c r="M78" s="4">
        <v>95</v>
      </c>
      <c r="N78" s="4">
        <v>2.7</v>
      </c>
      <c r="O78" s="4">
        <v>40.4</v>
      </c>
      <c r="P78" s="4">
        <v>26.8</v>
      </c>
      <c r="Q78" s="4">
        <v>16.3</v>
      </c>
      <c r="R78" s="4"/>
      <c r="S78" s="4">
        <v>5</v>
      </c>
      <c r="T78" s="4">
        <v>74</v>
      </c>
    </row>
    <row r="79" spans="2:20">
      <c r="B79">
        <v>160</v>
      </c>
      <c r="C79" s="28">
        <f t="shared" si="45"/>
        <v>4</v>
      </c>
      <c r="D79">
        <f t="shared" si="46"/>
        <v>4.8</v>
      </c>
      <c r="E79">
        <f t="shared" si="47"/>
        <v>8</v>
      </c>
      <c r="F79" s="28">
        <f t="shared" si="48"/>
        <v>12.8</v>
      </c>
      <c r="G79">
        <f t="shared" si="49"/>
        <v>240</v>
      </c>
      <c r="H79">
        <f t="shared" si="50"/>
        <v>520</v>
      </c>
      <c r="I79">
        <f t="shared" si="51"/>
        <v>760</v>
      </c>
      <c r="J79" s="28">
        <f t="shared" si="52"/>
        <v>0.76</v>
      </c>
      <c r="L79" s="4" t="s">
        <v>131</v>
      </c>
      <c r="M79" s="4">
        <v>89</v>
      </c>
      <c r="N79" s="4">
        <v>2.1</v>
      </c>
      <c r="O79" s="4">
        <v>32.5</v>
      </c>
      <c r="P79" s="4">
        <v>43.8</v>
      </c>
      <c r="Q79" s="4">
        <v>30.2</v>
      </c>
      <c r="R79" s="4"/>
      <c r="S79" s="4">
        <v>8.1999999999999993</v>
      </c>
      <c r="T79" s="4">
        <v>58.4</v>
      </c>
    </row>
    <row r="80" spans="2:20">
      <c r="B80">
        <v>190</v>
      </c>
      <c r="C80" s="28">
        <f t="shared" si="45"/>
        <v>4.75</v>
      </c>
      <c r="D80">
        <f t="shared" si="46"/>
        <v>5.7</v>
      </c>
      <c r="E80">
        <f t="shared" si="47"/>
        <v>9.5</v>
      </c>
      <c r="F80" s="28">
        <f t="shared" si="48"/>
        <v>15.2</v>
      </c>
      <c r="G80">
        <f t="shared" si="49"/>
        <v>285</v>
      </c>
      <c r="H80">
        <f t="shared" si="50"/>
        <v>617.5</v>
      </c>
      <c r="I80">
        <f t="shared" si="51"/>
        <v>902.5</v>
      </c>
      <c r="J80" s="28">
        <f t="shared" si="52"/>
        <v>0.90249999999999997</v>
      </c>
      <c r="L80" s="4" t="s">
        <v>132</v>
      </c>
      <c r="M80" s="4">
        <v>91.2</v>
      </c>
      <c r="N80" s="4">
        <v>2.2000000000000002</v>
      </c>
      <c r="O80" s="4">
        <v>17.8</v>
      </c>
      <c r="P80" s="4">
        <v>57</v>
      </c>
      <c r="Q80" s="4">
        <v>37.6</v>
      </c>
      <c r="R80" s="4"/>
      <c r="S80" s="4">
        <v>4.4000000000000004</v>
      </c>
      <c r="T80" s="4">
        <v>61.2</v>
      </c>
    </row>
    <row r="81" spans="2:20">
      <c r="L81" s="4" t="s">
        <v>133</v>
      </c>
      <c r="M81" s="4"/>
      <c r="N81" s="4"/>
      <c r="O81" s="4"/>
      <c r="P81" s="4"/>
      <c r="Q81" s="4"/>
      <c r="R81" s="4"/>
      <c r="S81" s="4"/>
      <c r="T81" s="4"/>
    </row>
    <row r="82" spans="2:20">
      <c r="L82" s="4" t="s">
        <v>134</v>
      </c>
      <c r="M82" s="4">
        <v>87</v>
      </c>
      <c r="N82" s="4">
        <v>2.8</v>
      </c>
      <c r="O82" s="4">
        <v>15.9</v>
      </c>
      <c r="P82" s="4">
        <v>39.799999999999997</v>
      </c>
      <c r="Q82" s="4">
        <v>12.6</v>
      </c>
      <c r="R82" s="4">
        <v>23.1</v>
      </c>
      <c r="S82" s="4">
        <v>5.6</v>
      </c>
      <c r="T82" s="4">
        <v>78.099999999999994</v>
      </c>
    </row>
    <row r="83" spans="2:20">
      <c r="L83" s="4" t="s">
        <v>135</v>
      </c>
      <c r="M83" s="4">
        <v>90.2</v>
      </c>
      <c r="N83" s="4">
        <v>2.8</v>
      </c>
      <c r="O83" s="4">
        <v>15.9</v>
      </c>
      <c r="P83" s="4">
        <v>24.7</v>
      </c>
      <c r="Q83" s="4">
        <v>14.6</v>
      </c>
      <c r="R83" s="4"/>
      <c r="S83" s="4">
        <v>9.6999999999999993</v>
      </c>
      <c r="T83" s="4">
        <v>76.400000000000006</v>
      </c>
    </row>
    <row r="84" spans="2:20">
      <c r="L84" s="4" t="s">
        <v>61</v>
      </c>
      <c r="M84" s="4"/>
      <c r="N84" s="4"/>
      <c r="O84" s="4"/>
      <c r="P84" s="4"/>
      <c r="Q84" s="4"/>
      <c r="R84" s="4"/>
      <c r="S84" s="4"/>
      <c r="T84" s="4"/>
    </row>
    <row r="85" spans="2:20">
      <c r="B85" s="29"/>
      <c r="C85" s="29" t="s">
        <v>44</v>
      </c>
      <c r="D85" s="29" t="s">
        <v>45</v>
      </c>
      <c r="E85" s="29" t="s">
        <v>46</v>
      </c>
      <c r="F85" s="29" t="s">
        <v>47</v>
      </c>
      <c r="G85" s="29" t="s">
        <v>48</v>
      </c>
      <c r="H85" s="29"/>
      <c r="I85" s="29" t="s">
        <v>49</v>
      </c>
      <c r="J85" s="29" t="s">
        <v>44</v>
      </c>
      <c r="K85" s="29" t="s">
        <v>45</v>
      </c>
      <c r="L85" s="29" t="s">
        <v>46</v>
      </c>
      <c r="M85" s="29" t="s">
        <v>47</v>
      </c>
      <c r="N85" s="29" t="s">
        <v>48</v>
      </c>
      <c r="O85" s="29" t="s">
        <v>50</v>
      </c>
      <c r="P85" s="29" t="s">
        <v>51</v>
      </c>
      <c r="Q85" s="29" t="s">
        <v>52</v>
      </c>
      <c r="R85" s="29" t="s">
        <v>53</v>
      </c>
    </row>
    <row r="86" spans="2:20">
      <c r="B86" s="23" t="s">
        <v>55</v>
      </c>
      <c r="C86" s="30">
        <v>91</v>
      </c>
      <c r="D86" s="30">
        <v>1.5</v>
      </c>
      <c r="E86" s="30">
        <v>4</v>
      </c>
      <c r="F86" s="30">
        <v>71.8</v>
      </c>
      <c r="G86" s="30">
        <v>43.8</v>
      </c>
      <c r="H86" s="30"/>
      <c r="I86" s="24">
        <v>1</v>
      </c>
      <c r="J86" s="4">
        <f>C86/100*I86</f>
        <v>0.91</v>
      </c>
      <c r="K86" s="4">
        <f>D86*J86</f>
        <v>1.365</v>
      </c>
      <c r="L86" s="4">
        <f>E86/100*J86</f>
        <v>3.6400000000000002E-2</v>
      </c>
      <c r="M86" s="4">
        <f>F86/100*J86</f>
        <v>0.65337999999999996</v>
      </c>
      <c r="N86" s="4">
        <f>G86/100*J86</f>
        <v>0.39857999999999999</v>
      </c>
      <c r="O86" s="4">
        <v>17</v>
      </c>
      <c r="P86" s="4">
        <f>O86*I86</f>
        <v>17</v>
      </c>
      <c r="Q86" s="4"/>
      <c r="R86" s="4"/>
    </row>
    <row r="87" spans="2:20">
      <c r="B87" s="23" t="s">
        <v>116</v>
      </c>
      <c r="C87" s="4">
        <v>35.200000000000003</v>
      </c>
      <c r="D87" s="4">
        <v>1.9</v>
      </c>
      <c r="E87" s="4">
        <v>15.8</v>
      </c>
      <c r="F87" s="4">
        <v>46.7</v>
      </c>
      <c r="G87" s="4">
        <v>37</v>
      </c>
      <c r="H87" s="30"/>
      <c r="I87" s="24">
        <v>25</v>
      </c>
      <c r="J87" s="4">
        <f>C87/100*I87</f>
        <v>8.8000000000000007</v>
      </c>
      <c r="K87" s="4">
        <f>D87*J87</f>
        <v>16.72</v>
      </c>
      <c r="L87" s="4">
        <f>E87/100*J87</f>
        <v>1.3904000000000001</v>
      </c>
      <c r="M87" s="4">
        <f>F87/100*J87</f>
        <v>4.1096000000000004</v>
      </c>
      <c r="N87" s="4">
        <f>G87/100*J87</f>
        <v>3.2560000000000002</v>
      </c>
      <c r="O87" s="4">
        <v>5</v>
      </c>
      <c r="P87" s="4">
        <f>O87*I87</f>
        <v>125</v>
      </c>
      <c r="Q87" s="4"/>
      <c r="R87" s="4"/>
    </row>
    <row r="88" spans="2:20">
      <c r="B88" s="23" t="s">
        <v>136</v>
      </c>
      <c r="C88" s="30">
        <v>26.3</v>
      </c>
      <c r="D88" s="30">
        <v>2.4</v>
      </c>
      <c r="E88" s="30">
        <v>14.2</v>
      </c>
      <c r="F88" s="30">
        <v>51.4</v>
      </c>
      <c r="G88" s="30">
        <v>27.4</v>
      </c>
      <c r="H88" s="30"/>
      <c r="I88" s="24">
        <v>0</v>
      </c>
      <c r="J88" s="4">
        <f>C88/100*I88</f>
        <v>0</v>
      </c>
      <c r="K88" s="4">
        <f>D88*J88</f>
        <v>0</v>
      </c>
      <c r="L88" s="4">
        <f>E88/100*J88</f>
        <v>0</v>
      </c>
      <c r="M88" s="4">
        <f>F88/100*J88</f>
        <v>0</v>
      </c>
      <c r="N88" s="4">
        <f>G88/100*J88</f>
        <v>0</v>
      </c>
      <c r="O88" s="4"/>
      <c r="P88" s="4"/>
      <c r="Q88" s="4"/>
      <c r="R88" s="4"/>
    </row>
    <row r="89" spans="2:20">
      <c r="B89" s="23" t="s">
        <v>30</v>
      </c>
      <c r="C89" s="30">
        <v>87.3</v>
      </c>
      <c r="D89" s="30">
        <v>3.2</v>
      </c>
      <c r="E89" s="30">
        <v>9.1</v>
      </c>
      <c r="F89" s="30">
        <v>10.6</v>
      </c>
      <c r="G89" s="30">
        <v>2.7</v>
      </c>
      <c r="H89" s="30"/>
      <c r="I89" s="24">
        <v>1</v>
      </c>
      <c r="J89" s="4">
        <f t="shared" ref="J89:J105" si="53">C89/100*I89</f>
        <v>0.873</v>
      </c>
      <c r="K89" s="4">
        <f t="shared" ref="K89:K105" si="54">D89*J89</f>
        <v>2.7936000000000001</v>
      </c>
      <c r="L89" s="4">
        <f t="shared" ref="L89:L105" si="55">E89/100*J89</f>
        <v>7.9443E-2</v>
      </c>
      <c r="M89" s="4">
        <f t="shared" ref="M89:M105" si="56">F89/100*J89</f>
        <v>9.2537999999999995E-2</v>
      </c>
      <c r="N89" s="4">
        <f t="shared" ref="N89:N105" si="57">G89/100*J89</f>
        <v>2.3571000000000002E-2</v>
      </c>
      <c r="O89" s="4">
        <v>70</v>
      </c>
      <c r="P89" s="4">
        <f t="shared" ref="P89:P103" si="58">O89*I89</f>
        <v>70</v>
      </c>
      <c r="Q89" s="4"/>
      <c r="R89" s="4"/>
    </row>
    <row r="90" spans="2:20">
      <c r="B90" s="23" t="s">
        <v>32</v>
      </c>
      <c r="C90" s="4">
        <v>87.9</v>
      </c>
      <c r="D90" s="4">
        <v>3.1</v>
      </c>
      <c r="E90" s="4">
        <v>48</v>
      </c>
      <c r="F90" s="4">
        <v>16.600000000000001</v>
      </c>
      <c r="G90" s="4">
        <v>7</v>
      </c>
      <c r="H90" s="30"/>
      <c r="I90" s="24">
        <v>0</v>
      </c>
      <c r="J90" s="4">
        <f t="shared" si="53"/>
        <v>0</v>
      </c>
      <c r="K90" s="4">
        <f t="shared" si="54"/>
        <v>0</v>
      </c>
      <c r="L90" s="4">
        <f t="shared" si="55"/>
        <v>0</v>
      </c>
      <c r="M90" s="4">
        <f t="shared" si="56"/>
        <v>0</v>
      </c>
      <c r="N90" s="4">
        <f t="shared" si="57"/>
        <v>0</v>
      </c>
      <c r="O90" s="4">
        <v>80</v>
      </c>
      <c r="P90" s="4">
        <f t="shared" si="58"/>
        <v>0</v>
      </c>
      <c r="Q90" s="4"/>
      <c r="R90" s="4"/>
    </row>
    <row r="91" spans="2:20">
      <c r="B91" s="23" t="s">
        <v>33</v>
      </c>
      <c r="C91" s="30">
        <v>88.8</v>
      </c>
      <c r="D91" s="30">
        <v>2.5</v>
      </c>
      <c r="E91" s="30">
        <v>39.6</v>
      </c>
      <c r="F91" s="30">
        <v>31.2</v>
      </c>
      <c r="G91" s="30">
        <v>19.7</v>
      </c>
      <c r="H91" s="30"/>
      <c r="I91" s="24">
        <v>1</v>
      </c>
      <c r="J91" s="4">
        <f t="shared" si="53"/>
        <v>0.88800000000000001</v>
      </c>
      <c r="K91" s="4">
        <f t="shared" si="54"/>
        <v>2.2200000000000002</v>
      </c>
      <c r="L91" s="4">
        <f t="shared" si="55"/>
        <v>0.35164800000000002</v>
      </c>
      <c r="M91" s="4">
        <f t="shared" si="56"/>
        <v>0.27705600000000002</v>
      </c>
      <c r="N91" s="4">
        <f t="shared" si="57"/>
        <v>0.17493599999999998</v>
      </c>
      <c r="O91" s="4">
        <v>194</v>
      </c>
      <c r="P91" s="4">
        <f t="shared" si="58"/>
        <v>194</v>
      </c>
      <c r="Q91" s="4"/>
      <c r="R91" s="4"/>
    </row>
    <row r="92" spans="2:20">
      <c r="B92" s="23" t="s">
        <v>58</v>
      </c>
      <c r="C92" s="30">
        <v>90</v>
      </c>
      <c r="D92" s="30">
        <v>2.8</v>
      </c>
      <c r="E92" s="30">
        <v>59.7</v>
      </c>
      <c r="F92" s="30">
        <v>18</v>
      </c>
      <c r="G92" s="30">
        <v>9</v>
      </c>
      <c r="H92" s="30"/>
      <c r="I92" s="24">
        <v>0</v>
      </c>
      <c r="J92" s="4">
        <f t="shared" si="53"/>
        <v>0</v>
      </c>
      <c r="K92" s="4">
        <f t="shared" si="54"/>
        <v>0</v>
      </c>
      <c r="L92" s="4">
        <f t="shared" si="55"/>
        <v>0</v>
      </c>
      <c r="M92" s="4">
        <f t="shared" si="56"/>
        <v>0</v>
      </c>
      <c r="N92" s="4">
        <f t="shared" si="57"/>
        <v>0</v>
      </c>
      <c r="O92" s="4">
        <v>100</v>
      </c>
      <c r="P92" s="4">
        <f t="shared" si="58"/>
        <v>0</v>
      </c>
      <c r="Q92" s="4"/>
      <c r="R92" s="4"/>
    </row>
    <row r="93" spans="2:20">
      <c r="B93" s="23" t="s">
        <v>59</v>
      </c>
      <c r="C93" s="30">
        <v>89.9</v>
      </c>
      <c r="D93" s="30">
        <v>2.7</v>
      </c>
      <c r="E93" s="30">
        <v>39</v>
      </c>
      <c r="F93" s="30">
        <v>25.5</v>
      </c>
      <c r="G93" s="30">
        <v>16.7</v>
      </c>
      <c r="H93" s="30"/>
      <c r="I93" s="24">
        <v>0</v>
      </c>
      <c r="J93" s="4">
        <f t="shared" si="53"/>
        <v>0</v>
      </c>
      <c r="K93" s="4">
        <f t="shared" si="54"/>
        <v>0</v>
      </c>
      <c r="L93" s="4">
        <f t="shared" si="55"/>
        <v>0</v>
      </c>
      <c r="M93" s="4">
        <f t="shared" si="56"/>
        <v>0</v>
      </c>
      <c r="N93" s="4">
        <f t="shared" si="57"/>
        <v>0</v>
      </c>
      <c r="O93" s="4">
        <v>115</v>
      </c>
      <c r="P93" s="4">
        <f t="shared" si="58"/>
        <v>0</v>
      </c>
      <c r="Q93" s="4"/>
      <c r="R93" s="4"/>
    </row>
    <row r="94" spans="2:20">
      <c r="B94" s="23" t="s">
        <v>34</v>
      </c>
      <c r="C94" s="30">
        <v>87</v>
      </c>
      <c r="D94" s="30">
        <v>2.8</v>
      </c>
      <c r="E94" s="30">
        <v>15.9</v>
      </c>
      <c r="F94" s="30">
        <v>39.799999999999997</v>
      </c>
      <c r="G94" s="30">
        <v>12.6</v>
      </c>
      <c r="H94" s="30"/>
      <c r="I94" s="24">
        <v>1</v>
      </c>
      <c r="J94" s="4">
        <f t="shared" si="53"/>
        <v>0.87</v>
      </c>
      <c r="K94" s="4">
        <f t="shared" si="54"/>
        <v>2.4359999999999999</v>
      </c>
      <c r="L94" s="4">
        <f t="shared" si="55"/>
        <v>0.13833000000000001</v>
      </c>
      <c r="M94" s="4">
        <f t="shared" si="56"/>
        <v>0.34625999999999996</v>
      </c>
      <c r="N94" s="4">
        <f t="shared" si="57"/>
        <v>0.10962</v>
      </c>
      <c r="O94" s="4">
        <v>65</v>
      </c>
      <c r="P94" s="4">
        <f t="shared" si="58"/>
        <v>65</v>
      </c>
      <c r="Q94" s="4"/>
      <c r="R94" s="4"/>
    </row>
    <row r="95" spans="2:20">
      <c r="B95" s="23" t="s">
        <v>60</v>
      </c>
      <c r="C95" s="30">
        <v>91.2</v>
      </c>
      <c r="D95" s="30">
        <v>2.2000000000000002</v>
      </c>
      <c r="E95" s="30">
        <v>17.8</v>
      </c>
      <c r="F95" s="30">
        <v>57</v>
      </c>
      <c r="G95" s="30">
        <v>37.6</v>
      </c>
      <c r="H95" s="30"/>
      <c r="I95" s="24">
        <v>0</v>
      </c>
      <c r="J95" s="4">
        <f t="shared" si="53"/>
        <v>0</v>
      </c>
      <c r="K95" s="4">
        <f t="shared" si="54"/>
        <v>0</v>
      </c>
      <c r="L95" s="4">
        <f t="shared" si="55"/>
        <v>0</v>
      </c>
      <c r="M95" s="4">
        <f t="shared" si="56"/>
        <v>0</v>
      </c>
      <c r="N95" s="4">
        <f t="shared" si="57"/>
        <v>0</v>
      </c>
      <c r="O95" s="4">
        <v>90</v>
      </c>
      <c r="P95" s="4">
        <f t="shared" si="58"/>
        <v>0</v>
      </c>
      <c r="Q95" s="4"/>
      <c r="R95" s="4"/>
    </row>
    <row r="96" spans="2:20">
      <c r="B96" s="23" t="s">
        <v>35</v>
      </c>
      <c r="C96" s="30">
        <v>74</v>
      </c>
      <c r="D96" s="30">
        <v>2.85</v>
      </c>
      <c r="E96" s="30">
        <v>3</v>
      </c>
      <c r="F96" s="30">
        <v>0</v>
      </c>
      <c r="G96" s="30">
        <v>0</v>
      </c>
      <c r="H96" s="30"/>
      <c r="I96" s="24">
        <v>0</v>
      </c>
      <c r="J96" s="4">
        <f t="shared" si="53"/>
        <v>0</v>
      </c>
      <c r="K96" s="4">
        <f t="shared" si="54"/>
        <v>0</v>
      </c>
      <c r="L96" s="4">
        <f t="shared" si="55"/>
        <v>0</v>
      </c>
      <c r="M96" s="4">
        <f t="shared" si="56"/>
        <v>0</v>
      </c>
      <c r="N96" s="4">
        <f t="shared" si="57"/>
        <v>0</v>
      </c>
      <c r="O96" s="4">
        <v>50</v>
      </c>
      <c r="P96" s="4">
        <f t="shared" si="58"/>
        <v>0</v>
      </c>
      <c r="Q96" s="4"/>
      <c r="R96" s="4"/>
    </row>
    <row r="97" spans="2:18">
      <c r="B97" s="31" t="s">
        <v>61</v>
      </c>
      <c r="C97" s="30"/>
      <c r="D97" s="30">
        <v>0</v>
      </c>
      <c r="E97" s="30">
        <v>280</v>
      </c>
      <c r="F97" s="30">
        <v>0</v>
      </c>
      <c r="G97" s="30">
        <v>0</v>
      </c>
      <c r="H97" s="30"/>
      <c r="I97" s="24">
        <v>0</v>
      </c>
      <c r="J97" s="4">
        <f t="shared" si="53"/>
        <v>0</v>
      </c>
      <c r="K97" s="4">
        <f t="shared" si="54"/>
        <v>0</v>
      </c>
      <c r="L97" s="4">
        <f t="shared" si="55"/>
        <v>0</v>
      </c>
      <c r="M97" s="4">
        <f t="shared" si="56"/>
        <v>0</v>
      </c>
      <c r="N97" s="4">
        <f t="shared" si="57"/>
        <v>0</v>
      </c>
      <c r="O97" s="4">
        <v>48</v>
      </c>
      <c r="P97" s="4">
        <f t="shared" si="58"/>
        <v>0</v>
      </c>
      <c r="Q97" s="4"/>
      <c r="R97" s="4"/>
    </row>
    <row r="98" spans="2:18">
      <c r="B98" s="31" t="s">
        <v>62</v>
      </c>
      <c r="C98" s="30">
        <v>90</v>
      </c>
      <c r="D98" s="30">
        <v>0</v>
      </c>
      <c r="E98" s="30">
        <v>0</v>
      </c>
      <c r="F98" s="30">
        <v>0</v>
      </c>
      <c r="G98" s="30">
        <v>0</v>
      </c>
      <c r="H98" s="30"/>
      <c r="I98" s="24">
        <v>0</v>
      </c>
      <c r="J98" s="4">
        <f t="shared" si="53"/>
        <v>0</v>
      </c>
      <c r="K98" s="4">
        <f t="shared" si="54"/>
        <v>0</v>
      </c>
      <c r="L98" s="4">
        <f t="shared" si="55"/>
        <v>0</v>
      </c>
      <c r="M98" s="4">
        <f t="shared" si="56"/>
        <v>0</v>
      </c>
      <c r="N98" s="4">
        <f t="shared" si="57"/>
        <v>0</v>
      </c>
      <c r="O98" s="4">
        <v>660</v>
      </c>
      <c r="P98" s="4">
        <f t="shared" si="58"/>
        <v>0</v>
      </c>
      <c r="Q98" s="4"/>
      <c r="R98" s="4"/>
    </row>
    <row r="99" spans="2:18">
      <c r="B99" s="31" t="s">
        <v>63</v>
      </c>
      <c r="C99" s="30">
        <v>90</v>
      </c>
      <c r="D99" s="30">
        <v>0</v>
      </c>
      <c r="E99" s="30">
        <v>0</v>
      </c>
      <c r="F99" s="30">
        <v>0</v>
      </c>
      <c r="G99" s="30">
        <v>0</v>
      </c>
      <c r="H99" s="30"/>
      <c r="I99" s="24">
        <v>0</v>
      </c>
      <c r="J99" s="4">
        <f t="shared" si="53"/>
        <v>0</v>
      </c>
      <c r="K99" s="4">
        <f t="shared" si="54"/>
        <v>0</v>
      </c>
      <c r="L99" s="4">
        <f t="shared" si="55"/>
        <v>0</v>
      </c>
      <c r="M99" s="4">
        <f t="shared" si="56"/>
        <v>0</v>
      </c>
      <c r="N99" s="4">
        <f t="shared" si="57"/>
        <v>0</v>
      </c>
      <c r="O99" s="4">
        <v>470</v>
      </c>
      <c r="P99" s="4">
        <f t="shared" si="58"/>
        <v>0</v>
      </c>
      <c r="Q99" s="4"/>
      <c r="R99" s="4"/>
    </row>
    <row r="100" spans="2:18">
      <c r="B100" s="31" t="s">
        <v>64</v>
      </c>
      <c r="C100" s="30">
        <v>90</v>
      </c>
      <c r="D100" s="30">
        <v>0</v>
      </c>
      <c r="E100" s="30">
        <v>0</v>
      </c>
      <c r="F100" s="30">
        <v>0</v>
      </c>
      <c r="G100" s="30">
        <v>0</v>
      </c>
      <c r="H100" s="30"/>
      <c r="I100" s="24">
        <v>0</v>
      </c>
      <c r="J100" s="4">
        <f t="shared" si="53"/>
        <v>0</v>
      </c>
      <c r="K100" s="4">
        <f t="shared" si="54"/>
        <v>0</v>
      </c>
      <c r="L100" s="4">
        <f t="shared" si="55"/>
        <v>0</v>
      </c>
      <c r="M100" s="4">
        <f t="shared" si="56"/>
        <v>0</v>
      </c>
      <c r="N100" s="4">
        <f t="shared" si="57"/>
        <v>0</v>
      </c>
      <c r="O100" s="4">
        <v>650</v>
      </c>
      <c r="P100" s="4">
        <f t="shared" si="58"/>
        <v>0</v>
      </c>
      <c r="Q100" s="4"/>
      <c r="R100" s="4"/>
    </row>
    <row r="101" spans="2:18">
      <c r="B101" s="31" t="s">
        <v>65</v>
      </c>
      <c r="C101" s="30">
        <v>90</v>
      </c>
      <c r="D101" s="30">
        <v>0</v>
      </c>
      <c r="E101" s="30">
        <v>0</v>
      </c>
      <c r="F101" s="30">
        <v>0</v>
      </c>
      <c r="G101" s="30">
        <v>0</v>
      </c>
      <c r="H101" s="30"/>
      <c r="I101" s="24">
        <v>0</v>
      </c>
      <c r="J101" s="4">
        <f t="shared" si="53"/>
        <v>0</v>
      </c>
      <c r="K101" s="4">
        <f t="shared" si="54"/>
        <v>0</v>
      </c>
      <c r="L101" s="4">
        <f t="shared" si="55"/>
        <v>0</v>
      </c>
      <c r="M101" s="4">
        <f t="shared" si="56"/>
        <v>0</v>
      </c>
      <c r="N101" s="4">
        <f t="shared" si="57"/>
        <v>0</v>
      </c>
      <c r="O101" s="4">
        <v>180</v>
      </c>
      <c r="P101" s="4">
        <f t="shared" si="58"/>
        <v>0</v>
      </c>
      <c r="Q101" s="4"/>
      <c r="R101" s="4"/>
    </row>
    <row r="102" spans="2:18">
      <c r="B102" s="31" t="s">
        <v>66</v>
      </c>
      <c r="C102" s="30">
        <v>90</v>
      </c>
      <c r="D102" s="30">
        <v>0</v>
      </c>
      <c r="E102" s="30">
        <v>0</v>
      </c>
      <c r="F102" s="30">
        <v>0</v>
      </c>
      <c r="G102" s="30">
        <v>0</v>
      </c>
      <c r="H102" s="30"/>
      <c r="I102" s="24">
        <v>0</v>
      </c>
      <c r="J102" s="4">
        <f t="shared" si="53"/>
        <v>0</v>
      </c>
      <c r="K102" s="4">
        <f t="shared" si="54"/>
        <v>0</v>
      </c>
      <c r="L102" s="4">
        <f t="shared" si="55"/>
        <v>0</v>
      </c>
      <c r="M102" s="4">
        <f t="shared" si="56"/>
        <v>0</v>
      </c>
      <c r="N102" s="4">
        <f t="shared" si="57"/>
        <v>0</v>
      </c>
      <c r="O102" s="4">
        <v>12</v>
      </c>
      <c r="P102" s="4">
        <f t="shared" si="58"/>
        <v>0</v>
      </c>
      <c r="Q102" s="4"/>
      <c r="R102" s="4"/>
    </row>
    <row r="103" spans="2:18">
      <c r="B103" s="31" t="s">
        <v>67</v>
      </c>
      <c r="C103" s="30">
        <v>90</v>
      </c>
      <c r="D103" s="30">
        <v>0</v>
      </c>
      <c r="E103" s="30">
        <v>0</v>
      </c>
      <c r="F103" s="30">
        <v>0</v>
      </c>
      <c r="G103" s="30">
        <v>0</v>
      </c>
      <c r="H103" s="30"/>
      <c r="I103" s="24">
        <v>0</v>
      </c>
      <c r="J103" s="4">
        <f t="shared" si="53"/>
        <v>0</v>
      </c>
      <c r="K103" s="4">
        <f t="shared" si="54"/>
        <v>0</v>
      </c>
      <c r="L103" s="4">
        <f t="shared" si="55"/>
        <v>0</v>
      </c>
      <c r="M103" s="4">
        <f t="shared" si="56"/>
        <v>0</v>
      </c>
      <c r="N103" s="4">
        <f t="shared" si="57"/>
        <v>0</v>
      </c>
      <c r="O103" s="4">
        <v>12</v>
      </c>
      <c r="P103" s="4">
        <f t="shared" si="58"/>
        <v>0</v>
      </c>
      <c r="Q103" s="4"/>
      <c r="R103" s="4"/>
    </row>
    <row r="104" spans="2:18">
      <c r="B104" s="31" t="s">
        <v>68</v>
      </c>
      <c r="C104" s="30">
        <v>90</v>
      </c>
      <c r="D104" s="30">
        <v>0</v>
      </c>
      <c r="E104" s="30">
        <v>0</v>
      </c>
      <c r="F104" s="30">
        <v>0</v>
      </c>
      <c r="G104" s="30">
        <v>0</v>
      </c>
      <c r="H104" s="30"/>
      <c r="I104" s="24">
        <v>0</v>
      </c>
      <c r="J104" s="4">
        <f t="shared" si="53"/>
        <v>0</v>
      </c>
      <c r="K104" s="4">
        <f t="shared" si="54"/>
        <v>0</v>
      </c>
      <c r="L104" s="4">
        <f t="shared" si="55"/>
        <v>0</v>
      </c>
      <c r="M104" s="4">
        <f t="shared" si="56"/>
        <v>0</v>
      </c>
      <c r="N104" s="4">
        <f t="shared" si="57"/>
        <v>0</v>
      </c>
      <c r="O104" s="4"/>
      <c r="P104" s="4"/>
      <c r="Q104" s="4"/>
      <c r="R104" s="4"/>
    </row>
    <row r="105" spans="2:18">
      <c r="B105" s="31" t="s">
        <v>69</v>
      </c>
      <c r="C105" s="30">
        <v>90</v>
      </c>
      <c r="D105" s="30">
        <v>0</v>
      </c>
      <c r="E105" s="30">
        <v>0</v>
      </c>
      <c r="F105" s="30">
        <v>0</v>
      </c>
      <c r="G105" s="30">
        <v>0</v>
      </c>
      <c r="H105" s="30"/>
      <c r="I105" s="24">
        <v>0</v>
      </c>
      <c r="J105" s="4">
        <f t="shared" si="53"/>
        <v>0</v>
      </c>
      <c r="K105" s="4">
        <f t="shared" si="54"/>
        <v>0</v>
      </c>
      <c r="L105" s="4">
        <f t="shared" si="55"/>
        <v>0</v>
      </c>
      <c r="M105" s="4">
        <f t="shared" si="56"/>
        <v>0</v>
      </c>
      <c r="N105" s="4">
        <f t="shared" si="57"/>
        <v>0</v>
      </c>
      <c r="O105" s="4">
        <v>124</v>
      </c>
      <c r="P105" s="4">
        <f>O105*I105</f>
        <v>0</v>
      </c>
      <c r="Q105" s="4"/>
      <c r="R105" s="4"/>
    </row>
    <row r="106" spans="2:18">
      <c r="B106" s="32"/>
      <c r="C106" s="30"/>
      <c r="D106" s="30"/>
      <c r="E106" s="30"/>
      <c r="F106" s="30"/>
      <c r="G106" s="30"/>
      <c r="H106" s="30"/>
      <c r="I106" s="30">
        <f t="shared" ref="I106:P106" si="59">SUM(I86:I105)</f>
        <v>29</v>
      </c>
      <c r="J106" s="3">
        <f t="shared" si="59"/>
        <v>12.340999999999999</v>
      </c>
      <c r="K106" s="3">
        <f t="shared" si="59"/>
        <v>25.534599999999998</v>
      </c>
      <c r="L106" s="3">
        <f t="shared" si="59"/>
        <v>1.996221</v>
      </c>
      <c r="M106" s="3">
        <f t="shared" si="59"/>
        <v>5.4788340000000009</v>
      </c>
      <c r="N106" s="3">
        <f t="shared" si="59"/>
        <v>3.9627070000000004</v>
      </c>
      <c r="O106" s="3">
        <f t="shared" si="59"/>
        <v>2942</v>
      </c>
      <c r="P106" s="3">
        <f t="shared" si="59"/>
        <v>471</v>
      </c>
      <c r="Q106" s="4"/>
      <c r="R106" s="3">
        <f>P106/23</f>
        <v>20.478260869565219</v>
      </c>
    </row>
    <row r="110" spans="2:18">
      <c r="I110">
        <v>700</v>
      </c>
      <c r="J110">
        <f>0.0166*I110</f>
        <v>11.620000000000001</v>
      </c>
      <c r="K110">
        <f>J110*2.25</f>
        <v>26.145000000000003</v>
      </c>
      <c r="L110">
        <f>14.3/100*J110</f>
        <v>1.6616600000000004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23"/>
  <sheetViews>
    <sheetView tabSelected="1" zoomScale="87" zoomScaleNormal="87" workbookViewId="0">
      <selection activeCell="H20" sqref="H20"/>
    </sheetView>
  </sheetViews>
  <sheetFormatPr defaultColWidth="9.140625" defaultRowHeight="15"/>
  <cols>
    <col min="1" max="1" width="19.85546875" customWidth="1"/>
    <col min="3" max="3" width="11.28515625" customWidth="1"/>
    <col min="11" max="11" width="13.28515625" customWidth="1"/>
  </cols>
  <sheetData>
    <row r="2" spans="1:3">
      <c r="A2" s="1" t="s">
        <v>137</v>
      </c>
    </row>
    <row r="3" spans="1:3">
      <c r="A3" s="2" t="s">
        <v>138</v>
      </c>
    </row>
    <row r="4" spans="1:3">
      <c r="A4" s="3" t="s">
        <v>139</v>
      </c>
      <c r="B4" s="3" t="s">
        <v>140</v>
      </c>
      <c r="C4" s="3" t="s">
        <v>141</v>
      </c>
    </row>
    <row r="5" spans="1:3">
      <c r="A5" s="4">
        <v>20</v>
      </c>
      <c r="B5" s="4">
        <v>2.411</v>
      </c>
      <c r="C5" s="4">
        <v>240.2</v>
      </c>
    </row>
    <row r="6" spans="1:3">
      <c r="A6" s="4">
        <v>25</v>
      </c>
      <c r="B6" s="5">
        <v>2.5208333333333299</v>
      </c>
      <c r="C6" s="6">
        <v>285.072563925363</v>
      </c>
    </row>
    <row r="7" spans="1:3">
      <c r="A7" s="4">
        <v>30</v>
      </c>
      <c r="B7" s="5">
        <v>2.9791666666666701</v>
      </c>
      <c r="C7" s="6">
        <v>336.90393918452003</v>
      </c>
    </row>
    <row r="8" spans="1:3">
      <c r="A8" s="2" t="s">
        <v>142</v>
      </c>
      <c r="B8" s="7"/>
      <c r="C8" s="8"/>
    </row>
    <row r="9" spans="1:3">
      <c r="A9" s="3" t="s">
        <v>139</v>
      </c>
      <c r="B9" s="3" t="s">
        <v>140</v>
      </c>
      <c r="C9" s="3" t="s">
        <v>141</v>
      </c>
    </row>
    <row r="10" spans="1:3">
      <c r="A10" s="4">
        <v>40</v>
      </c>
      <c r="B10" s="5">
        <v>3.4375</v>
      </c>
      <c r="C10" s="6">
        <v>388.735314443677</v>
      </c>
    </row>
    <row r="11" spans="1:3">
      <c r="A11" s="4">
        <v>50</v>
      </c>
      <c r="B11" s="5">
        <v>3.8958333333333299</v>
      </c>
      <c r="C11" s="6">
        <v>440.566689702833</v>
      </c>
    </row>
    <row r="12" spans="1:3">
      <c r="A12" s="4">
        <v>60</v>
      </c>
      <c r="B12" s="5">
        <v>4.3541666666666696</v>
      </c>
      <c r="C12" s="6">
        <v>492.39806496198997</v>
      </c>
    </row>
    <row r="13" spans="1:3">
      <c r="A13" s="4">
        <v>70</v>
      </c>
      <c r="B13" s="5">
        <v>4.8125</v>
      </c>
      <c r="C13" s="6">
        <v>544.229440221147</v>
      </c>
    </row>
    <row r="14" spans="1:3">
      <c r="A14" s="4">
        <v>80</v>
      </c>
      <c r="B14" s="5">
        <v>5.2708333333333304</v>
      </c>
      <c r="C14" s="6">
        <v>596.06081548030397</v>
      </c>
    </row>
    <row r="16" spans="1:3">
      <c r="B16" s="4" t="s">
        <v>84</v>
      </c>
      <c r="C16" s="4"/>
    </row>
    <row r="17" spans="1:22">
      <c r="B17" s="9" t="s">
        <v>30</v>
      </c>
      <c r="C17" s="10" t="s">
        <v>85</v>
      </c>
    </row>
    <row r="18" spans="1:22">
      <c r="B18" s="9" t="s">
        <v>31</v>
      </c>
      <c r="C18" s="10" t="s">
        <v>86</v>
      </c>
    </row>
    <row r="19" spans="1:22">
      <c r="B19" s="9" t="s">
        <v>32</v>
      </c>
      <c r="C19" s="10" t="s">
        <v>87</v>
      </c>
    </row>
    <row r="20" spans="1:22">
      <c r="B20" s="9" t="s">
        <v>33</v>
      </c>
      <c r="C20" s="10" t="s">
        <v>88</v>
      </c>
    </row>
    <row r="21" spans="1:22">
      <c r="B21" s="9" t="s">
        <v>34</v>
      </c>
      <c r="C21" s="10" t="s">
        <v>89</v>
      </c>
    </row>
    <row r="22" spans="1:22">
      <c r="B22" s="9" t="s">
        <v>35</v>
      </c>
      <c r="C22" s="10" t="s">
        <v>90</v>
      </c>
    </row>
    <row r="24" spans="1:22">
      <c r="A24" s="1" t="s">
        <v>143</v>
      </c>
      <c r="K24" s="1" t="s">
        <v>143</v>
      </c>
    </row>
    <row r="25" spans="1:22">
      <c r="A25" s="2" t="s">
        <v>138</v>
      </c>
      <c r="K25" s="2" t="s">
        <v>144</v>
      </c>
    </row>
    <row r="26" spans="1:22">
      <c r="A26" s="11" t="s">
        <v>145</v>
      </c>
      <c r="K26" s="11" t="s">
        <v>145</v>
      </c>
    </row>
    <row r="28" spans="1:22">
      <c r="A28" s="3" t="s">
        <v>146</v>
      </c>
      <c r="B28" s="12">
        <v>40</v>
      </c>
      <c r="C28" s="12">
        <v>60</v>
      </c>
      <c r="D28" s="12">
        <v>80</v>
      </c>
      <c r="E28" s="12">
        <v>100</v>
      </c>
      <c r="F28" s="12">
        <v>130</v>
      </c>
      <c r="G28" s="12">
        <v>160</v>
      </c>
      <c r="H28" s="12">
        <v>190</v>
      </c>
      <c r="K28" s="3" t="s">
        <v>146</v>
      </c>
      <c r="L28" s="12">
        <v>100</v>
      </c>
      <c r="M28" s="12">
        <v>150</v>
      </c>
      <c r="N28" s="12">
        <v>200</v>
      </c>
      <c r="O28" s="12">
        <v>250</v>
      </c>
      <c r="P28" s="12">
        <v>300</v>
      </c>
      <c r="Q28" s="12">
        <v>350</v>
      </c>
      <c r="R28" s="12">
        <v>400</v>
      </c>
      <c r="S28" s="12">
        <v>450</v>
      </c>
      <c r="T28" s="12">
        <v>500</v>
      </c>
      <c r="U28" s="12">
        <v>550</v>
      </c>
      <c r="V28" s="12">
        <v>600</v>
      </c>
    </row>
    <row r="29" spans="1:22">
      <c r="A29" s="13" t="s">
        <v>147</v>
      </c>
      <c r="B29" s="13">
        <v>1.5</v>
      </c>
      <c r="C29" s="13">
        <v>1.75</v>
      </c>
      <c r="D29" s="13">
        <v>3</v>
      </c>
      <c r="E29" s="13">
        <v>5</v>
      </c>
      <c r="F29" s="13">
        <v>8</v>
      </c>
      <c r="G29" s="13">
        <v>9</v>
      </c>
      <c r="H29" s="13">
        <v>11</v>
      </c>
      <c r="K29" s="13" t="s">
        <v>147</v>
      </c>
      <c r="L29" s="13">
        <v>2.5</v>
      </c>
      <c r="M29" s="13">
        <v>3.25</v>
      </c>
      <c r="N29" s="13">
        <v>4</v>
      </c>
      <c r="O29" s="13">
        <v>6</v>
      </c>
      <c r="P29" s="4">
        <v>7</v>
      </c>
      <c r="Q29" s="4">
        <v>8.5</v>
      </c>
      <c r="R29" s="4">
        <v>12</v>
      </c>
      <c r="S29" s="4">
        <v>14</v>
      </c>
      <c r="T29" s="4">
        <v>16</v>
      </c>
      <c r="U29" s="4">
        <v>18</v>
      </c>
      <c r="V29" s="4">
        <v>20</v>
      </c>
    </row>
    <row r="30" spans="1:22">
      <c r="A30" s="13" t="s">
        <v>121</v>
      </c>
      <c r="B30" s="13">
        <v>0.5</v>
      </c>
      <c r="C30" s="13">
        <v>0.5</v>
      </c>
      <c r="D30" s="13">
        <v>0.75</v>
      </c>
      <c r="E30" s="13">
        <v>1</v>
      </c>
      <c r="F30" s="13">
        <v>1.25</v>
      </c>
      <c r="G30" s="13">
        <v>1.25</v>
      </c>
      <c r="H30" s="13">
        <v>1.25</v>
      </c>
      <c r="K30" s="13" t="s">
        <v>121</v>
      </c>
      <c r="L30" s="13">
        <v>1</v>
      </c>
      <c r="M30" s="13">
        <v>1.25</v>
      </c>
      <c r="N30" s="13">
        <v>1.25</v>
      </c>
      <c r="O30" s="13">
        <v>1.25</v>
      </c>
      <c r="P30" s="4">
        <v>1.5</v>
      </c>
      <c r="Q30" s="4">
        <v>1.5</v>
      </c>
      <c r="R30" s="4">
        <v>1.5</v>
      </c>
      <c r="S30" s="4">
        <v>1.5</v>
      </c>
      <c r="T30" s="4">
        <v>1.5</v>
      </c>
      <c r="U30" s="4">
        <v>1.5</v>
      </c>
      <c r="V30" s="4">
        <v>1.5</v>
      </c>
    </row>
    <row r="31" spans="1:22">
      <c r="A31" s="13" t="s">
        <v>122</v>
      </c>
      <c r="B31" s="13">
        <v>0.25</v>
      </c>
      <c r="C31" s="13">
        <v>0.4</v>
      </c>
      <c r="D31" s="13">
        <v>0.75</v>
      </c>
      <c r="E31" s="13">
        <v>1</v>
      </c>
      <c r="F31" s="13">
        <v>1</v>
      </c>
      <c r="G31" s="13">
        <v>1.25</v>
      </c>
      <c r="H31" s="13">
        <v>1.5</v>
      </c>
      <c r="K31" s="13" t="s">
        <v>122</v>
      </c>
      <c r="L31" s="13">
        <v>1</v>
      </c>
      <c r="M31" s="13">
        <v>1</v>
      </c>
      <c r="N31" s="13">
        <v>1.25</v>
      </c>
      <c r="O31" s="13">
        <v>1.5</v>
      </c>
      <c r="P31" s="4">
        <v>1.5</v>
      </c>
      <c r="Q31" s="4">
        <v>1.6</v>
      </c>
      <c r="R31" s="4">
        <v>2</v>
      </c>
      <c r="S31" s="4">
        <v>2</v>
      </c>
      <c r="T31" s="4">
        <v>2.5</v>
      </c>
      <c r="U31" s="4">
        <v>2.5</v>
      </c>
      <c r="V31" s="4">
        <v>2.5</v>
      </c>
    </row>
    <row r="32" spans="1:22">
      <c r="A32" s="13"/>
      <c r="B32" s="13"/>
      <c r="C32" s="13"/>
      <c r="D32" s="13"/>
      <c r="E32" s="13"/>
      <c r="F32" s="13"/>
      <c r="G32" s="13"/>
      <c r="H32" s="13"/>
      <c r="K32" s="13" t="s">
        <v>125</v>
      </c>
      <c r="L32" s="13">
        <v>0.1</v>
      </c>
      <c r="M32" s="13">
        <v>0.2</v>
      </c>
      <c r="N32" s="13">
        <v>0.2</v>
      </c>
      <c r="O32" s="13">
        <v>0.2</v>
      </c>
      <c r="P32" s="4">
        <v>0.3</v>
      </c>
      <c r="Q32" s="4">
        <v>0.3</v>
      </c>
      <c r="R32" s="4">
        <v>0.5</v>
      </c>
      <c r="S32" s="4">
        <v>0.5</v>
      </c>
      <c r="T32" s="4">
        <v>0.5</v>
      </c>
      <c r="U32" s="4">
        <v>0.5</v>
      </c>
      <c r="V32" s="4">
        <v>0.5</v>
      </c>
    </row>
    <row r="33" spans="1:22">
      <c r="A33" s="13" t="s">
        <v>126</v>
      </c>
      <c r="B33" s="13">
        <v>0.25</v>
      </c>
      <c r="C33" s="13">
        <v>0.25</v>
      </c>
      <c r="D33" s="13">
        <v>0.25</v>
      </c>
      <c r="E33" s="13">
        <v>0.25</v>
      </c>
      <c r="F33" s="13">
        <v>0.5</v>
      </c>
      <c r="G33" s="13">
        <v>0.5</v>
      </c>
      <c r="H33" s="13">
        <v>0.5</v>
      </c>
      <c r="K33" s="13" t="s">
        <v>126</v>
      </c>
      <c r="L33" s="13">
        <v>0.25</v>
      </c>
      <c r="M33" s="13">
        <v>0.4</v>
      </c>
      <c r="N33" s="13">
        <v>0.5</v>
      </c>
      <c r="O33" s="13">
        <v>0.5</v>
      </c>
      <c r="P33" s="4">
        <v>0.5</v>
      </c>
      <c r="Q33" s="4">
        <v>0.5</v>
      </c>
      <c r="R33" s="4">
        <v>0.5</v>
      </c>
      <c r="S33" s="4">
        <v>0.5</v>
      </c>
      <c r="T33" s="4">
        <v>1</v>
      </c>
      <c r="U33" s="4">
        <v>1</v>
      </c>
      <c r="V33" s="4">
        <v>1</v>
      </c>
    </row>
    <row r="34" spans="1:22">
      <c r="A34" s="13" t="s">
        <v>148</v>
      </c>
      <c r="B34" s="13">
        <v>0</v>
      </c>
      <c r="C34" s="13">
        <v>0</v>
      </c>
      <c r="D34" s="13">
        <v>0.1</v>
      </c>
      <c r="E34" s="13">
        <v>0.1</v>
      </c>
      <c r="F34" s="13">
        <v>0.2</v>
      </c>
      <c r="G34" s="13">
        <v>0.5</v>
      </c>
      <c r="H34" s="13">
        <v>0.5</v>
      </c>
      <c r="K34" s="13" t="s">
        <v>148</v>
      </c>
      <c r="L34" s="13">
        <v>0.1</v>
      </c>
      <c r="M34" s="13">
        <v>0.2</v>
      </c>
      <c r="N34" s="13">
        <v>0.5</v>
      </c>
      <c r="O34" s="13">
        <v>0.5</v>
      </c>
      <c r="P34" s="4">
        <v>0.5</v>
      </c>
      <c r="Q34" s="4">
        <v>0.5</v>
      </c>
      <c r="R34" s="4">
        <v>0.5</v>
      </c>
      <c r="S34" s="4">
        <v>0.5</v>
      </c>
      <c r="T34" s="4">
        <v>0.5</v>
      </c>
      <c r="U34" s="4">
        <v>0.5</v>
      </c>
      <c r="V34" s="4">
        <v>0.5</v>
      </c>
    </row>
    <row r="35" spans="1:22">
      <c r="A35" s="13" t="s">
        <v>149</v>
      </c>
      <c r="B35" s="13">
        <v>0.25</v>
      </c>
      <c r="C35" s="13">
        <v>0.25</v>
      </c>
      <c r="D35" s="13">
        <v>0.25</v>
      </c>
      <c r="E35" s="13">
        <v>0.5</v>
      </c>
      <c r="F35" s="13">
        <v>0.5</v>
      </c>
      <c r="G35" s="13">
        <v>0.5</v>
      </c>
      <c r="H35" s="13">
        <v>0.5</v>
      </c>
      <c r="K35" s="13" t="s">
        <v>149</v>
      </c>
      <c r="L35" s="13">
        <v>0.5</v>
      </c>
      <c r="M35" s="13">
        <v>0.5</v>
      </c>
      <c r="N35" s="13">
        <v>0.5</v>
      </c>
      <c r="O35" s="13">
        <v>0.5</v>
      </c>
      <c r="P35" s="4">
        <v>0.5</v>
      </c>
      <c r="Q35" s="4">
        <v>0.5</v>
      </c>
      <c r="R35" s="4">
        <v>1</v>
      </c>
      <c r="S35" s="4">
        <v>1</v>
      </c>
      <c r="T35" s="4">
        <v>1</v>
      </c>
      <c r="U35" s="4">
        <v>1</v>
      </c>
      <c r="V35" s="4">
        <v>1</v>
      </c>
    </row>
    <row r="36" spans="1:22">
      <c r="A36" s="13" t="s">
        <v>133</v>
      </c>
      <c r="B36" s="13">
        <v>0.05</v>
      </c>
      <c r="C36" s="13">
        <v>0.05</v>
      </c>
      <c r="D36" s="13">
        <v>0.05</v>
      </c>
      <c r="E36" s="13">
        <v>0.06</v>
      </c>
      <c r="F36" s="13">
        <v>0.06</v>
      </c>
      <c r="G36" s="13">
        <v>0.08</v>
      </c>
      <c r="H36" s="13">
        <v>0.08</v>
      </c>
      <c r="K36" s="13" t="s">
        <v>133</v>
      </c>
      <c r="L36" s="13">
        <v>0.1</v>
      </c>
      <c r="M36" s="13">
        <v>0.1</v>
      </c>
      <c r="N36" s="13">
        <v>0.2</v>
      </c>
      <c r="O36" s="13">
        <v>0.3</v>
      </c>
      <c r="P36" s="4">
        <v>0.4</v>
      </c>
      <c r="Q36" s="4">
        <v>0.4</v>
      </c>
      <c r="R36" s="4">
        <v>0.5</v>
      </c>
      <c r="S36" s="4">
        <v>0.5</v>
      </c>
      <c r="T36" s="4">
        <v>0.5</v>
      </c>
      <c r="U36" s="4">
        <v>0.5</v>
      </c>
      <c r="V36" s="4">
        <v>0.5</v>
      </c>
    </row>
    <row r="37" spans="1:22">
      <c r="A37" s="13" t="s">
        <v>150</v>
      </c>
      <c r="B37" s="13"/>
      <c r="C37" s="13"/>
      <c r="D37" s="13"/>
      <c r="E37" s="13"/>
      <c r="F37" s="13"/>
      <c r="G37" s="13"/>
      <c r="H37" s="13"/>
      <c r="K37" s="13" t="s">
        <v>61</v>
      </c>
      <c r="L37" s="13">
        <v>0</v>
      </c>
      <c r="M37" s="13">
        <v>0</v>
      </c>
      <c r="N37" s="13">
        <v>0</v>
      </c>
      <c r="O37" s="13">
        <v>0</v>
      </c>
      <c r="P37" s="4">
        <v>0.04</v>
      </c>
      <c r="Q37" s="4">
        <v>0.04</v>
      </c>
      <c r="R37" s="4">
        <v>0.05</v>
      </c>
      <c r="S37" s="4">
        <v>0.05</v>
      </c>
      <c r="T37" s="4">
        <v>0.05</v>
      </c>
      <c r="U37" s="4">
        <v>0.05</v>
      </c>
      <c r="V37" s="4">
        <v>0.05</v>
      </c>
    </row>
    <row r="38" spans="1:22">
      <c r="A38" s="13" t="s">
        <v>151</v>
      </c>
      <c r="B38" s="13">
        <v>0.02</v>
      </c>
      <c r="C38" s="13">
        <v>0.02</v>
      </c>
      <c r="D38" s="13">
        <v>0.03</v>
      </c>
      <c r="E38" s="13">
        <v>0.03</v>
      </c>
      <c r="F38" s="13">
        <v>0.04</v>
      </c>
      <c r="G38" s="13">
        <v>0.05</v>
      </c>
      <c r="H38" s="13">
        <v>7.0000000000000007E-2</v>
      </c>
      <c r="K38" s="13" t="s">
        <v>151</v>
      </c>
      <c r="L38" s="13">
        <v>0.05</v>
      </c>
      <c r="M38" s="13">
        <v>7.0000000000000007E-2</v>
      </c>
      <c r="N38" s="13">
        <v>0.1</v>
      </c>
      <c r="O38" s="13">
        <v>0.1</v>
      </c>
      <c r="P38" s="4">
        <v>0.1</v>
      </c>
      <c r="Q38" s="4">
        <v>0.1</v>
      </c>
      <c r="R38" s="4">
        <v>0.15</v>
      </c>
      <c r="S38" s="4">
        <v>0.15</v>
      </c>
      <c r="T38" s="4">
        <v>0.15</v>
      </c>
      <c r="U38" s="4">
        <v>0.15</v>
      </c>
      <c r="V38" s="4">
        <v>0.15</v>
      </c>
    </row>
    <row r="39" spans="1:22">
      <c r="K39" s="4" t="s">
        <v>152</v>
      </c>
      <c r="L39" s="4">
        <v>0.05</v>
      </c>
      <c r="M39" s="4">
        <v>0.05</v>
      </c>
      <c r="N39" s="4">
        <v>0.1</v>
      </c>
      <c r="O39" s="4">
        <v>0.1</v>
      </c>
      <c r="P39" s="4">
        <v>0.1</v>
      </c>
      <c r="Q39" s="4">
        <v>0.1</v>
      </c>
      <c r="R39" s="4">
        <v>0.1</v>
      </c>
      <c r="S39" s="4">
        <v>0.1</v>
      </c>
      <c r="T39" s="4">
        <v>0.1</v>
      </c>
      <c r="U39" s="4">
        <v>0.1</v>
      </c>
      <c r="V39" s="4">
        <v>0.1</v>
      </c>
    </row>
    <row r="41" spans="1:22">
      <c r="A41" s="11" t="s">
        <v>153</v>
      </c>
    </row>
    <row r="43" spans="1:22">
      <c r="A43" s="3" t="s">
        <v>146</v>
      </c>
      <c r="B43" s="12">
        <v>40</v>
      </c>
      <c r="C43" s="12">
        <v>60</v>
      </c>
      <c r="D43" s="12">
        <v>80</v>
      </c>
      <c r="E43" s="12">
        <v>100</v>
      </c>
      <c r="F43" s="12">
        <v>130</v>
      </c>
      <c r="G43" s="12">
        <v>160</v>
      </c>
      <c r="H43" s="12">
        <v>190</v>
      </c>
      <c r="K43" s="11" t="s">
        <v>154</v>
      </c>
    </row>
    <row r="44" spans="1:22">
      <c r="A44" s="13" t="s">
        <v>155</v>
      </c>
      <c r="B44" s="13">
        <v>1.5</v>
      </c>
      <c r="C44" s="13">
        <v>1.75</v>
      </c>
      <c r="D44" s="13">
        <v>3</v>
      </c>
      <c r="E44" s="13">
        <v>5</v>
      </c>
      <c r="F44" s="13">
        <v>8</v>
      </c>
      <c r="G44" s="13">
        <v>9</v>
      </c>
      <c r="H44" s="13">
        <v>11</v>
      </c>
    </row>
    <row r="45" spans="1:22">
      <c r="A45" s="13" t="s">
        <v>121</v>
      </c>
      <c r="B45" s="13">
        <v>0.5</v>
      </c>
      <c r="C45" s="13">
        <v>0.5</v>
      </c>
      <c r="D45" s="13">
        <v>0.75</v>
      </c>
      <c r="E45" s="13">
        <v>1</v>
      </c>
      <c r="F45" s="13">
        <v>1.25</v>
      </c>
      <c r="G45" s="13">
        <v>1.25</v>
      </c>
      <c r="H45" s="13">
        <v>1.25</v>
      </c>
      <c r="K45" s="3" t="s">
        <v>146</v>
      </c>
      <c r="L45" s="12">
        <v>100</v>
      </c>
      <c r="M45" s="12">
        <v>150</v>
      </c>
      <c r="N45" s="12">
        <v>200</v>
      </c>
      <c r="O45" s="12">
        <v>250</v>
      </c>
      <c r="P45" s="12">
        <v>300</v>
      </c>
      <c r="Q45" s="12">
        <v>350</v>
      </c>
      <c r="R45" s="12">
        <v>400</v>
      </c>
      <c r="S45" s="12">
        <v>450</v>
      </c>
      <c r="T45" s="12">
        <v>500</v>
      </c>
      <c r="U45" s="12">
        <v>550</v>
      </c>
      <c r="V45" s="12">
        <v>600</v>
      </c>
    </row>
    <row r="46" spans="1:22">
      <c r="A46" s="13" t="s">
        <v>122</v>
      </c>
      <c r="B46" s="13">
        <v>0.25</v>
      </c>
      <c r="C46" s="13">
        <v>0.4</v>
      </c>
      <c r="D46" s="13">
        <v>0.75</v>
      </c>
      <c r="E46" s="13">
        <v>1</v>
      </c>
      <c r="F46" s="13">
        <v>1</v>
      </c>
      <c r="G46" s="13">
        <v>1.25</v>
      </c>
      <c r="H46" s="13">
        <v>1.5</v>
      </c>
      <c r="K46" s="13" t="s">
        <v>155</v>
      </c>
      <c r="L46" s="13">
        <v>2.5</v>
      </c>
      <c r="M46" s="13">
        <v>3.25</v>
      </c>
      <c r="N46" s="13">
        <v>4</v>
      </c>
      <c r="O46" s="13">
        <v>6</v>
      </c>
      <c r="P46" s="4">
        <v>7</v>
      </c>
      <c r="Q46" s="4">
        <v>8.5</v>
      </c>
      <c r="R46" s="4">
        <v>12</v>
      </c>
      <c r="S46" s="4">
        <v>14</v>
      </c>
      <c r="T46" s="4">
        <v>16</v>
      </c>
      <c r="U46" s="4">
        <v>18</v>
      </c>
      <c r="V46" s="4">
        <v>20</v>
      </c>
    </row>
    <row r="47" spans="1:22">
      <c r="A47" s="13" t="s">
        <v>126</v>
      </c>
      <c r="B47" s="13">
        <v>0.25</v>
      </c>
      <c r="C47" s="13">
        <v>0.25</v>
      </c>
      <c r="D47" s="13">
        <v>0.25</v>
      </c>
      <c r="E47" s="13">
        <v>0.25</v>
      </c>
      <c r="F47" s="13">
        <v>0.5</v>
      </c>
      <c r="G47" s="13">
        <v>0.5</v>
      </c>
      <c r="H47" s="13">
        <v>0.5</v>
      </c>
      <c r="K47" s="13" t="s">
        <v>121</v>
      </c>
      <c r="L47" s="13">
        <v>1</v>
      </c>
      <c r="M47" s="13">
        <v>1.25</v>
      </c>
      <c r="N47" s="13">
        <v>1.25</v>
      </c>
      <c r="O47" s="13">
        <v>1.25</v>
      </c>
      <c r="P47" s="4">
        <v>1.5</v>
      </c>
      <c r="Q47" s="4">
        <v>1.5</v>
      </c>
      <c r="R47" s="4">
        <v>1.5</v>
      </c>
      <c r="S47" s="4">
        <v>1.5</v>
      </c>
      <c r="T47" s="4">
        <v>1.5</v>
      </c>
      <c r="U47" s="4">
        <v>1.5</v>
      </c>
      <c r="V47" s="4">
        <v>1.5</v>
      </c>
    </row>
    <row r="48" spans="1:22">
      <c r="A48" s="13" t="s">
        <v>148</v>
      </c>
      <c r="B48" s="13">
        <v>0</v>
      </c>
      <c r="C48" s="13">
        <v>0</v>
      </c>
      <c r="D48" s="13">
        <v>0.1</v>
      </c>
      <c r="E48" s="13">
        <v>0.1</v>
      </c>
      <c r="F48" s="13">
        <v>0.2</v>
      </c>
      <c r="G48" s="13">
        <v>0.5</v>
      </c>
      <c r="H48" s="13">
        <v>0.5</v>
      </c>
      <c r="K48" s="13" t="s">
        <v>122</v>
      </c>
      <c r="L48" s="13">
        <v>1</v>
      </c>
      <c r="M48" s="13">
        <v>1</v>
      </c>
      <c r="N48" s="13">
        <v>1.25</v>
      </c>
      <c r="O48" s="13">
        <v>1.5</v>
      </c>
      <c r="P48" s="4">
        <v>1.5</v>
      </c>
      <c r="Q48" s="4">
        <v>1.6</v>
      </c>
      <c r="R48" s="4">
        <v>2</v>
      </c>
      <c r="S48" s="4">
        <v>2</v>
      </c>
      <c r="T48" s="4">
        <v>2.5</v>
      </c>
      <c r="U48" s="4">
        <v>2.5</v>
      </c>
      <c r="V48" s="4">
        <v>2.5</v>
      </c>
    </row>
    <row r="49" spans="1:22">
      <c r="A49" s="13" t="s">
        <v>149</v>
      </c>
      <c r="B49" s="13">
        <v>0.25</v>
      </c>
      <c r="C49" s="13">
        <v>0.25</v>
      </c>
      <c r="D49" s="13">
        <v>0.25</v>
      </c>
      <c r="E49" s="13">
        <v>0.5</v>
      </c>
      <c r="F49" s="13">
        <v>0.5</v>
      </c>
      <c r="G49" s="13">
        <v>0.5</v>
      </c>
      <c r="H49" s="13">
        <v>0.5</v>
      </c>
      <c r="K49" s="13" t="s">
        <v>125</v>
      </c>
      <c r="L49" s="13">
        <v>0.1</v>
      </c>
      <c r="M49" s="13">
        <v>0.2</v>
      </c>
      <c r="N49" s="13">
        <v>0.2</v>
      </c>
      <c r="O49" s="13">
        <v>0.2</v>
      </c>
      <c r="P49" s="4">
        <v>0.3</v>
      </c>
      <c r="Q49" s="4">
        <v>0.3</v>
      </c>
      <c r="R49" s="4">
        <v>0.5</v>
      </c>
      <c r="S49" s="4">
        <v>0.5</v>
      </c>
      <c r="T49" s="4">
        <v>0.5</v>
      </c>
      <c r="U49" s="4">
        <v>0.5</v>
      </c>
      <c r="V49" s="4">
        <v>0.5</v>
      </c>
    </row>
    <row r="50" spans="1:22">
      <c r="A50" s="13" t="s">
        <v>133</v>
      </c>
      <c r="B50" s="13">
        <v>0.05</v>
      </c>
      <c r="C50" s="13">
        <v>0.05</v>
      </c>
      <c r="D50" s="13">
        <v>0.05</v>
      </c>
      <c r="E50" s="13">
        <v>0.06</v>
      </c>
      <c r="F50" s="13">
        <v>0.06</v>
      </c>
      <c r="G50" s="13">
        <v>0.08</v>
      </c>
      <c r="H50" s="13">
        <v>0.08</v>
      </c>
      <c r="K50" s="13" t="s">
        <v>126</v>
      </c>
      <c r="L50" s="13">
        <v>0.25</v>
      </c>
      <c r="M50" s="13">
        <v>0.4</v>
      </c>
      <c r="N50" s="13">
        <v>0.5</v>
      </c>
      <c r="O50" s="13">
        <v>0.5</v>
      </c>
      <c r="P50" s="4">
        <v>0.5</v>
      </c>
      <c r="Q50" s="4">
        <v>0.5</v>
      </c>
      <c r="R50" s="4">
        <v>0.5</v>
      </c>
      <c r="S50" s="4">
        <v>0.5</v>
      </c>
      <c r="T50" s="4">
        <v>1</v>
      </c>
      <c r="U50" s="4">
        <v>1</v>
      </c>
      <c r="V50" s="4">
        <v>1</v>
      </c>
    </row>
    <row r="51" spans="1:22">
      <c r="A51" s="13" t="s">
        <v>151</v>
      </c>
      <c r="B51" s="13">
        <v>0.02</v>
      </c>
      <c r="C51" s="13">
        <v>0.02</v>
      </c>
      <c r="D51" s="13">
        <v>0.03</v>
      </c>
      <c r="E51" s="13">
        <v>0.03</v>
      </c>
      <c r="F51" s="13">
        <v>0.04</v>
      </c>
      <c r="G51" s="13">
        <v>0.05</v>
      </c>
      <c r="H51" s="13">
        <v>7.0000000000000007E-2</v>
      </c>
      <c r="K51" s="13" t="s">
        <v>148</v>
      </c>
      <c r="L51" s="13">
        <v>0.1</v>
      </c>
      <c r="M51" s="13">
        <v>0.2</v>
      </c>
      <c r="N51" s="13">
        <v>0.5</v>
      </c>
      <c r="O51" s="13">
        <v>0.5</v>
      </c>
      <c r="P51" s="4">
        <v>0.5</v>
      </c>
      <c r="Q51" s="4">
        <v>0.5</v>
      </c>
      <c r="R51" s="4">
        <v>0.5</v>
      </c>
      <c r="S51" s="4">
        <v>0.5</v>
      </c>
      <c r="T51" s="4">
        <v>0.5</v>
      </c>
      <c r="U51" s="4">
        <v>0.5</v>
      </c>
      <c r="V51" s="4">
        <v>0.5</v>
      </c>
    </row>
    <row r="52" spans="1:22">
      <c r="K52" s="13" t="s">
        <v>149</v>
      </c>
      <c r="L52" s="13">
        <v>0.5</v>
      </c>
      <c r="M52" s="13">
        <v>0.5</v>
      </c>
      <c r="N52" s="13">
        <v>0.5</v>
      </c>
      <c r="O52" s="13">
        <v>0.5</v>
      </c>
      <c r="P52" s="4">
        <v>0.5</v>
      </c>
      <c r="Q52" s="4">
        <v>0.5</v>
      </c>
      <c r="R52" s="4">
        <v>1</v>
      </c>
      <c r="S52" s="4">
        <v>1</v>
      </c>
      <c r="T52" s="4">
        <v>1</v>
      </c>
      <c r="U52" s="4">
        <v>1</v>
      </c>
      <c r="V52" s="4">
        <v>1</v>
      </c>
    </row>
    <row r="53" spans="1:22">
      <c r="K53" s="13" t="s">
        <v>133</v>
      </c>
      <c r="L53" s="13">
        <v>0.1</v>
      </c>
      <c r="M53" s="13">
        <v>0.1</v>
      </c>
      <c r="N53" s="13">
        <v>0.2</v>
      </c>
      <c r="O53" s="13">
        <v>0.3</v>
      </c>
      <c r="P53" s="4">
        <v>0.4</v>
      </c>
      <c r="Q53" s="4">
        <v>0.4</v>
      </c>
      <c r="R53" s="4">
        <v>0.5</v>
      </c>
      <c r="S53" s="4">
        <v>0.5</v>
      </c>
      <c r="T53" s="4">
        <v>0.5</v>
      </c>
      <c r="U53" s="4">
        <v>0.5</v>
      </c>
      <c r="V53" s="4">
        <v>0.5</v>
      </c>
    </row>
    <row r="54" spans="1:22">
      <c r="A54" s="11" t="s">
        <v>156</v>
      </c>
      <c r="K54" s="13" t="s">
        <v>61</v>
      </c>
      <c r="L54" s="13">
        <v>0</v>
      </c>
      <c r="M54" s="13">
        <v>0</v>
      </c>
      <c r="N54" s="13">
        <v>0</v>
      </c>
      <c r="O54" s="13">
        <v>0</v>
      </c>
      <c r="P54" s="4">
        <v>0.04</v>
      </c>
      <c r="Q54" s="4">
        <v>0.04</v>
      </c>
      <c r="R54" s="4">
        <v>0.05</v>
      </c>
      <c r="S54" s="4">
        <v>0.05</v>
      </c>
      <c r="T54" s="4">
        <v>0.05</v>
      </c>
      <c r="U54" s="4">
        <v>0.05</v>
      </c>
      <c r="V54" s="4">
        <v>0.05</v>
      </c>
    </row>
    <row r="55" spans="1:22">
      <c r="K55" s="13" t="s">
        <v>151</v>
      </c>
      <c r="L55" s="13">
        <v>0.05</v>
      </c>
      <c r="M55" s="13">
        <v>7.0000000000000007E-2</v>
      </c>
      <c r="N55" s="13">
        <v>0.1</v>
      </c>
      <c r="O55" s="13">
        <v>0.1</v>
      </c>
      <c r="P55" s="4">
        <v>0.1</v>
      </c>
      <c r="Q55" s="4">
        <v>0.1</v>
      </c>
      <c r="R55" s="4">
        <v>0.15</v>
      </c>
      <c r="S55" s="4">
        <v>0.15</v>
      </c>
      <c r="T55" s="4">
        <v>0.15</v>
      </c>
      <c r="U55" s="4">
        <v>0.15</v>
      </c>
      <c r="V55" s="4">
        <v>0.15</v>
      </c>
    </row>
    <row r="56" spans="1:22">
      <c r="A56" s="3" t="s">
        <v>146</v>
      </c>
      <c r="B56" s="12">
        <v>40</v>
      </c>
      <c r="C56" s="12">
        <v>60</v>
      </c>
      <c r="D56" s="12">
        <v>80</v>
      </c>
      <c r="E56" s="12">
        <v>100</v>
      </c>
      <c r="F56" s="12">
        <v>130</v>
      </c>
      <c r="G56" s="12">
        <v>160</v>
      </c>
      <c r="H56" s="12">
        <v>190</v>
      </c>
      <c r="K56" s="4" t="s">
        <v>152</v>
      </c>
      <c r="L56" s="4">
        <v>0.05</v>
      </c>
      <c r="M56" s="4">
        <v>0.05</v>
      </c>
      <c r="N56" s="4">
        <v>0.1</v>
      </c>
      <c r="O56" s="4">
        <v>0.1</v>
      </c>
      <c r="P56" s="4">
        <v>0.1</v>
      </c>
      <c r="Q56" s="4">
        <v>0.1</v>
      </c>
      <c r="R56" s="4">
        <v>0.1</v>
      </c>
      <c r="S56" s="4">
        <v>0.1</v>
      </c>
      <c r="T56" s="4">
        <v>0.1</v>
      </c>
      <c r="U56" s="4">
        <v>0.1</v>
      </c>
      <c r="V56" s="4">
        <v>0.1</v>
      </c>
    </row>
    <row r="57" spans="1:22">
      <c r="A57" s="13" t="s">
        <v>157</v>
      </c>
      <c r="B57" s="13">
        <v>1</v>
      </c>
      <c r="C57" s="13">
        <v>1.5</v>
      </c>
      <c r="D57" s="13">
        <v>2</v>
      </c>
      <c r="E57" s="13">
        <v>4</v>
      </c>
      <c r="F57" s="13">
        <v>5</v>
      </c>
      <c r="G57" s="13">
        <v>7</v>
      </c>
      <c r="H57" s="13">
        <v>9</v>
      </c>
    </row>
    <row r="58" spans="1:22">
      <c r="A58" s="13" t="s">
        <v>121</v>
      </c>
      <c r="B58" s="13">
        <v>1</v>
      </c>
      <c r="C58" s="13">
        <v>1.25</v>
      </c>
      <c r="D58" s="13">
        <v>1</v>
      </c>
      <c r="E58" s="13">
        <v>1</v>
      </c>
      <c r="F58" s="13">
        <v>1.25</v>
      </c>
      <c r="G58" s="13">
        <v>1.25</v>
      </c>
      <c r="H58" s="13">
        <v>1.5</v>
      </c>
    </row>
    <row r="59" spans="1:22">
      <c r="A59" s="13" t="s">
        <v>122</v>
      </c>
      <c r="B59" s="13">
        <v>0.25</v>
      </c>
      <c r="C59" s="13">
        <v>0.4</v>
      </c>
      <c r="D59" s="13">
        <v>1</v>
      </c>
      <c r="E59" s="13">
        <v>1.25</v>
      </c>
      <c r="F59" s="13">
        <v>1.5</v>
      </c>
      <c r="G59" s="13">
        <v>1.5</v>
      </c>
      <c r="H59" s="13">
        <v>1.5</v>
      </c>
      <c r="K59" s="11" t="s">
        <v>156</v>
      </c>
    </row>
    <row r="60" spans="1:22">
      <c r="A60" s="13" t="s">
        <v>126</v>
      </c>
      <c r="B60" s="13">
        <v>0.25</v>
      </c>
      <c r="C60" s="13">
        <v>0.25</v>
      </c>
      <c r="D60" s="13">
        <v>0.25</v>
      </c>
      <c r="E60" s="13">
        <v>0.25</v>
      </c>
      <c r="F60" s="13">
        <v>0.25</v>
      </c>
      <c r="G60" s="13">
        <v>0.5</v>
      </c>
      <c r="H60" s="13">
        <v>0.75</v>
      </c>
    </row>
    <row r="61" spans="1:22">
      <c r="A61" s="13" t="s">
        <v>148</v>
      </c>
      <c r="B61" s="13">
        <v>0</v>
      </c>
      <c r="C61" s="13">
        <v>0</v>
      </c>
      <c r="D61" s="13">
        <v>0.1</v>
      </c>
      <c r="E61" s="13">
        <v>0.1</v>
      </c>
      <c r="F61" s="13">
        <v>0.25</v>
      </c>
      <c r="G61" s="13">
        <v>0.3</v>
      </c>
      <c r="H61" s="13">
        <v>0.5</v>
      </c>
      <c r="K61" s="3" t="s">
        <v>146</v>
      </c>
      <c r="L61" s="12">
        <v>100</v>
      </c>
      <c r="M61" s="12">
        <v>150</v>
      </c>
      <c r="N61" s="12">
        <v>200</v>
      </c>
      <c r="O61" s="12">
        <v>250</v>
      </c>
      <c r="P61" s="12">
        <v>300</v>
      </c>
      <c r="Q61" s="12">
        <v>350</v>
      </c>
      <c r="R61" s="12">
        <v>400</v>
      </c>
      <c r="S61" s="12">
        <v>450</v>
      </c>
      <c r="T61" s="12">
        <v>500</v>
      </c>
      <c r="U61" s="12">
        <v>550</v>
      </c>
      <c r="V61" s="12">
        <v>600</v>
      </c>
    </row>
    <row r="62" spans="1:22">
      <c r="A62" s="13" t="s">
        <v>149</v>
      </c>
      <c r="B62" s="13">
        <v>0.25</v>
      </c>
      <c r="C62" s="13">
        <v>0.25</v>
      </c>
      <c r="D62" s="13">
        <v>0.25</v>
      </c>
      <c r="E62" s="13">
        <v>0.5</v>
      </c>
      <c r="F62" s="13">
        <v>0.5</v>
      </c>
      <c r="G62" s="13">
        <v>0.5</v>
      </c>
      <c r="H62" s="13">
        <v>0.75</v>
      </c>
      <c r="K62" s="13" t="s">
        <v>157</v>
      </c>
      <c r="L62" s="13">
        <v>2.5</v>
      </c>
      <c r="M62" s="13">
        <v>3.25</v>
      </c>
      <c r="N62" s="13">
        <v>6</v>
      </c>
      <c r="O62" s="13">
        <v>7</v>
      </c>
      <c r="P62" s="4">
        <v>9</v>
      </c>
      <c r="Q62" s="4">
        <v>11</v>
      </c>
      <c r="R62" s="4">
        <v>13</v>
      </c>
      <c r="S62" s="4">
        <v>14</v>
      </c>
      <c r="T62" s="4">
        <v>16</v>
      </c>
      <c r="U62" s="4">
        <v>18</v>
      </c>
      <c r="V62" s="4">
        <v>20</v>
      </c>
    </row>
    <row r="63" spans="1:22">
      <c r="A63" s="13" t="s">
        <v>133</v>
      </c>
      <c r="B63" s="13">
        <v>0.02</v>
      </c>
      <c r="C63" s="13">
        <v>0.05</v>
      </c>
      <c r="D63" s="13">
        <v>0.05</v>
      </c>
      <c r="E63" s="13">
        <v>0.06</v>
      </c>
      <c r="F63" s="13">
        <v>0.06</v>
      </c>
      <c r="G63" s="13">
        <v>0.08</v>
      </c>
      <c r="H63" s="13">
        <v>0.08</v>
      </c>
      <c r="K63" s="13" t="s">
        <v>121</v>
      </c>
      <c r="L63" s="13">
        <v>1.25</v>
      </c>
      <c r="M63" s="13">
        <v>1.25</v>
      </c>
      <c r="N63" s="13">
        <v>1.25</v>
      </c>
      <c r="O63" s="13">
        <v>1.5</v>
      </c>
      <c r="P63" s="4">
        <v>1.5</v>
      </c>
      <c r="Q63" s="4">
        <v>1.5</v>
      </c>
      <c r="R63" s="4">
        <v>1.5</v>
      </c>
      <c r="S63" s="4">
        <v>1.5</v>
      </c>
      <c r="T63" s="4">
        <v>1.5</v>
      </c>
      <c r="U63" s="4">
        <v>1.5</v>
      </c>
      <c r="V63" s="4">
        <v>1.5</v>
      </c>
    </row>
    <row r="64" spans="1:22">
      <c r="A64" s="13" t="s">
        <v>151</v>
      </c>
      <c r="B64" s="13">
        <v>0.02</v>
      </c>
      <c r="C64" s="13">
        <v>0.02</v>
      </c>
      <c r="D64" s="13">
        <v>0.03</v>
      </c>
      <c r="E64" s="13">
        <v>0.03</v>
      </c>
      <c r="F64" s="13">
        <v>0.04</v>
      </c>
      <c r="G64" s="13">
        <v>0.05</v>
      </c>
      <c r="H64" s="13">
        <v>7.0000000000000007E-2</v>
      </c>
      <c r="K64" s="13" t="s">
        <v>122</v>
      </c>
      <c r="L64" s="13">
        <v>1.25</v>
      </c>
      <c r="M64" s="13">
        <v>1.25</v>
      </c>
      <c r="N64" s="13">
        <v>1.5</v>
      </c>
      <c r="O64" s="13">
        <v>1.5</v>
      </c>
      <c r="P64" s="4">
        <v>1.6</v>
      </c>
      <c r="Q64" s="4">
        <v>1.7</v>
      </c>
      <c r="R64" s="4">
        <v>1.7</v>
      </c>
      <c r="S64" s="4">
        <v>2</v>
      </c>
      <c r="T64" s="4">
        <v>2</v>
      </c>
      <c r="U64" s="4">
        <v>2.5</v>
      </c>
      <c r="V64" s="4">
        <v>2.5</v>
      </c>
    </row>
    <row r="65" spans="1:22">
      <c r="K65" s="13" t="s">
        <v>125</v>
      </c>
      <c r="L65" s="13">
        <v>0</v>
      </c>
      <c r="M65" s="13">
        <v>0</v>
      </c>
      <c r="N65" s="13">
        <v>0</v>
      </c>
      <c r="O65" s="13">
        <v>0.2</v>
      </c>
      <c r="P65" s="4">
        <v>0.3</v>
      </c>
      <c r="Q65" s="4">
        <v>0.5</v>
      </c>
      <c r="R65" s="4">
        <v>0.5</v>
      </c>
      <c r="S65" s="4">
        <v>0.5</v>
      </c>
      <c r="T65" s="4">
        <v>0.5</v>
      </c>
      <c r="U65" s="4">
        <v>0.5</v>
      </c>
      <c r="V65" s="4">
        <v>0.5</v>
      </c>
    </row>
    <row r="66" spans="1:22">
      <c r="A66" s="11" t="s">
        <v>158</v>
      </c>
      <c r="K66" s="13" t="s">
        <v>126</v>
      </c>
      <c r="L66" s="13">
        <v>0.2</v>
      </c>
      <c r="M66" s="13">
        <v>0.3</v>
      </c>
      <c r="N66" s="13">
        <v>0.4</v>
      </c>
      <c r="O66" s="13">
        <v>0.4</v>
      </c>
      <c r="P66" s="4">
        <v>0.5</v>
      </c>
      <c r="Q66" s="4">
        <v>0.5</v>
      </c>
      <c r="R66" s="4">
        <v>0.5</v>
      </c>
      <c r="S66" s="4">
        <v>0.5</v>
      </c>
      <c r="T66" s="4">
        <v>0.5</v>
      </c>
      <c r="U66" s="4">
        <v>0.5</v>
      </c>
      <c r="V66" s="4">
        <v>0.5</v>
      </c>
    </row>
    <row r="67" spans="1:22">
      <c r="K67" s="13" t="s">
        <v>148</v>
      </c>
      <c r="L67" s="13">
        <v>0.1</v>
      </c>
      <c r="M67" s="13">
        <v>0.1</v>
      </c>
      <c r="N67" s="13">
        <v>0.5</v>
      </c>
      <c r="O67" s="13">
        <v>0.5</v>
      </c>
      <c r="P67" s="4">
        <v>0.5</v>
      </c>
      <c r="Q67" s="4">
        <v>0.5</v>
      </c>
      <c r="R67" s="4">
        <v>0.5</v>
      </c>
      <c r="S67" s="4">
        <v>0.5</v>
      </c>
      <c r="T67" s="4">
        <v>0.5</v>
      </c>
      <c r="U67" s="4">
        <v>0.5</v>
      </c>
      <c r="V67" s="4">
        <v>0.5</v>
      </c>
    </row>
    <row r="68" spans="1:22">
      <c r="A68" s="3" t="s">
        <v>146</v>
      </c>
      <c r="B68" s="12">
        <v>40</v>
      </c>
      <c r="C68" s="12">
        <v>60</v>
      </c>
      <c r="D68" s="12">
        <v>80</v>
      </c>
      <c r="E68" s="12">
        <v>100</v>
      </c>
      <c r="F68" s="12">
        <v>130</v>
      </c>
      <c r="G68" s="12">
        <v>160</v>
      </c>
      <c r="H68" s="12">
        <v>190</v>
      </c>
      <c r="K68" s="13" t="s">
        <v>149</v>
      </c>
      <c r="L68" s="13">
        <v>0.5</v>
      </c>
      <c r="M68" s="13">
        <v>0.5</v>
      </c>
      <c r="N68" s="13">
        <v>0.75</v>
      </c>
      <c r="O68" s="13">
        <v>0.75</v>
      </c>
      <c r="P68" s="4">
        <v>0.8</v>
      </c>
      <c r="Q68" s="4">
        <v>1</v>
      </c>
      <c r="R68" s="4">
        <v>1</v>
      </c>
      <c r="S68" s="4">
        <v>1.25</v>
      </c>
      <c r="T68" s="4">
        <v>1.25</v>
      </c>
      <c r="U68" s="4">
        <v>1.5</v>
      </c>
      <c r="V68" s="4">
        <v>1.5</v>
      </c>
    </row>
    <row r="69" spans="1:22">
      <c r="A69" s="13" t="s">
        <v>159</v>
      </c>
      <c r="B69" s="13">
        <v>1</v>
      </c>
      <c r="C69" s="13">
        <v>1.5</v>
      </c>
      <c r="D69" s="13">
        <v>2</v>
      </c>
      <c r="E69" s="13">
        <v>4</v>
      </c>
      <c r="F69" s="13">
        <v>6</v>
      </c>
      <c r="G69" s="13">
        <v>8</v>
      </c>
      <c r="H69" s="13">
        <v>10</v>
      </c>
      <c r="K69" s="13" t="s">
        <v>133</v>
      </c>
      <c r="L69" s="13">
        <v>0.05</v>
      </c>
      <c r="M69" s="13">
        <v>0.05</v>
      </c>
      <c r="N69" s="13">
        <v>0.3</v>
      </c>
      <c r="O69" s="13">
        <v>0.3</v>
      </c>
      <c r="P69" s="4">
        <v>0.4</v>
      </c>
      <c r="Q69" s="4">
        <v>0.4</v>
      </c>
      <c r="R69" s="4">
        <v>0.4</v>
      </c>
      <c r="S69" s="4">
        <v>0.5</v>
      </c>
      <c r="T69" s="4">
        <v>0.5</v>
      </c>
      <c r="U69" s="4">
        <v>0.5</v>
      </c>
      <c r="V69" s="4">
        <v>0.5</v>
      </c>
    </row>
    <row r="70" spans="1:22">
      <c r="A70" s="13" t="s">
        <v>121</v>
      </c>
      <c r="B70" s="13">
        <v>1</v>
      </c>
      <c r="C70" s="13">
        <v>1</v>
      </c>
      <c r="D70" s="13">
        <v>1</v>
      </c>
      <c r="E70" s="13">
        <v>1.25</v>
      </c>
      <c r="F70" s="13">
        <v>1.25</v>
      </c>
      <c r="G70" s="13">
        <v>1.25</v>
      </c>
      <c r="H70" s="13">
        <v>1.25</v>
      </c>
      <c r="K70" s="13" t="s">
        <v>61</v>
      </c>
      <c r="L70" s="13">
        <v>0</v>
      </c>
      <c r="M70" s="13">
        <v>0</v>
      </c>
      <c r="N70" s="13">
        <v>0</v>
      </c>
      <c r="O70" s="13">
        <v>0</v>
      </c>
      <c r="P70" s="4">
        <v>0.04</v>
      </c>
      <c r="Q70" s="4">
        <v>0.04</v>
      </c>
      <c r="R70" s="4">
        <v>0.04</v>
      </c>
      <c r="S70" s="4">
        <v>0.05</v>
      </c>
      <c r="T70" s="4">
        <v>0.05</v>
      </c>
      <c r="U70" s="4">
        <v>0.05</v>
      </c>
      <c r="V70" s="4">
        <v>0.05</v>
      </c>
    </row>
    <row r="71" spans="1:22">
      <c r="A71" s="13" t="s">
        <v>122</v>
      </c>
      <c r="B71" s="13">
        <v>0.25</v>
      </c>
      <c r="C71" s="13">
        <v>0.35</v>
      </c>
      <c r="D71" s="13">
        <v>0.5</v>
      </c>
      <c r="E71" s="13">
        <v>0.8</v>
      </c>
      <c r="F71" s="13">
        <v>1</v>
      </c>
      <c r="G71" s="13">
        <v>1.5</v>
      </c>
      <c r="H71" s="13">
        <v>1.5</v>
      </c>
      <c r="K71" s="13" t="s">
        <v>151</v>
      </c>
      <c r="L71" s="13">
        <v>0.05</v>
      </c>
      <c r="M71" s="13">
        <v>0.05</v>
      </c>
      <c r="N71" s="13">
        <v>0.1</v>
      </c>
      <c r="O71" s="13">
        <v>0.1</v>
      </c>
      <c r="P71" s="4">
        <v>0.1</v>
      </c>
      <c r="Q71" s="4">
        <v>0.1</v>
      </c>
      <c r="R71" s="4">
        <v>0.1</v>
      </c>
      <c r="S71" s="4">
        <v>0.15</v>
      </c>
      <c r="T71" s="4">
        <v>0.15</v>
      </c>
      <c r="U71" s="4">
        <v>0.15</v>
      </c>
      <c r="V71" s="4">
        <v>0.15</v>
      </c>
    </row>
    <row r="72" spans="1:22">
      <c r="A72" s="13" t="s">
        <v>126</v>
      </c>
      <c r="B72" s="13">
        <v>0</v>
      </c>
      <c r="C72" s="13">
        <v>0</v>
      </c>
      <c r="D72" s="13">
        <v>0.1</v>
      </c>
      <c r="E72" s="13">
        <v>0.2</v>
      </c>
      <c r="F72" s="13">
        <v>0.3</v>
      </c>
      <c r="G72" s="13">
        <v>0.4</v>
      </c>
      <c r="H72" s="13">
        <v>0.5</v>
      </c>
      <c r="K72" s="4" t="s">
        <v>152</v>
      </c>
      <c r="L72" s="4">
        <v>0.05</v>
      </c>
      <c r="M72" s="4">
        <v>0.05</v>
      </c>
      <c r="N72" s="4">
        <v>0.1</v>
      </c>
      <c r="O72" s="4">
        <v>0.1</v>
      </c>
      <c r="P72" s="4">
        <v>0.1</v>
      </c>
      <c r="Q72" s="4">
        <v>0.1</v>
      </c>
      <c r="R72" s="4">
        <v>0.1</v>
      </c>
      <c r="S72" s="4">
        <v>0.1</v>
      </c>
      <c r="T72" s="4">
        <v>0.1</v>
      </c>
      <c r="U72" s="4">
        <v>0.1</v>
      </c>
      <c r="V72" s="4">
        <v>0.1</v>
      </c>
    </row>
    <row r="73" spans="1:22">
      <c r="A73" s="13" t="s">
        <v>148</v>
      </c>
      <c r="B73" s="13">
        <v>0.1</v>
      </c>
      <c r="C73" s="13">
        <v>0.25</v>
      </c>
      <c r="D73" s="13">
        <v>0.25</v>
      </c>
      <c r="E73" s="13">
        <v>0.25</v>
      </c>
      <c r="F73" s="13">
        <v>0.25</v>
      </c>
      <c r="G73" s="13">
        <v>0.25</v>
      </c>
      <c r="H73" s="13">
        <v>0.35</v>
      </c>
    </row>
    <row r="74" spans="1:22">
      <c r="A74" s="13" t="s">
        <v>149</v>
      </c>
      <c r="B74" s="13">
        <v>0.25</v>
      </c>
      <c r="C74" s="13">
        <v>0.25</v>
      </c>
      <c r="D74" s="13">
        <v>0.5</v>
      </c>
      <c r="E74" s="13">
        <v>0.5</v>
      </c>
      <c r="F74" s="13">
        <v>0.5</v>
      </c>
      <c r="G74" s="13">
        <v>0.5</v>
      </c>
      <c r="H74" s="13">
        <v>0.75</v>
      </c>
    </row>
    <row r="75" spans="1:22">
      <c r="A75" s="13" t="s">
        <v>133</v>
      </c>
      <c r="B75" s="13">
        <v>0.02</v>
      </c>
      <c r="C75" s="13">
        <v>0.05</v>
      </c>
      <c r="D75" s="13">
        <v>0.05</v>
      </c>
      <c r="E75" s="13">
        <v>7.0000000000000007E-2</v>
      </c>
      <c r="F75" s="13">
        <v>7.0000000000000007E-2</v>
      </c>
      <c r="G75" s="13">
        <v>0.08</v>
      </c>
      <c r="H75" s="13">
        <v>0.08</v>
      </c>
    </row>
    <row r="76" spans="1:22">
      <c r="A76" s="13" t="s">
        <v>151</v>
      </c>
      <c r="B76" s="13">
        <v>0.02</v>
      </c>
      <c r="C76" s="13">
        <v>0.02</v>
      </c>
      <c r="D76" s="13">
        <v>0.03</v>
      </c>
      <c r="E76" s="13">
        <v>0.03</v>
      </c>
      <c r="F76" s="13">
        <v>0.04</v>
      </c>
      <c r="G76" s="13">
        <v>0.05</v>
      </c>
      <c r="H76" s="13">
        <v>7.0000000000000007E-2</v>
      </c>
      <c r="K76" s="11" t="s">
        <v>158</v>
      </c>
    </row>
    <row r="78" spans="1:22">
      <c r="K78" s="3" t="s">
        <v>146</v>
      </c>
      <c r="L78" s="12">
        <v>100</v>
      </c>
      <c r="M78" s="12">
        <v>150</v>
      </c>
      <c r="N78" s="12">
        <v>200</v>
      </c>
      <c r="O78" s="12">
        <v>250</v>
      </c>
      <c r="P78" s="12">
        <v>300</v>
      </c>
      <c r="Q78" s="12">
        <v>350</v>
      </c>
      <c r="R78" s="12">
        <v>400</v>
      </c>
      <c r="S78" s="12">
        <v>450</v>
      </c>
      <c r="T78" s="12">
        <v>500</v>
      </c>
      <c r="U78" s="12">
        <v>550</v>
      </c>
      <c r="V78" s="12">
        <v>600</v>
      </c>
    </row>
    <row r="79" spans="1:22">
      <c r="K79" s="13" t="s">
        <v>159</v>
      </c>
      <c r="L79" s="13">
        <v>2.5</v>
      </c>
      <c r="M79" s="13">
        <v>3.25</v>
      </c>
      <c r="N79" s="13">
        <v>6</v>
      </c>
      <c r="O79" s="13">
        <v>7</v>
      </c>
      <c r="P79" s="4">
        <v>9.5</v>
      </c>
      <c r="Q79" s="4">
        <v>11</v>
      </c>
      <c r="R79" s="4">
        <v>13</v>
      </c>
      <c r="S79" s="4">
        <v>14</v>
      </c>
      <c r="T79" s="4">
        <v>16</v>
      </c>
      <c r="U79" s="4">
        <v>18</v>
      </c>
      <c r="V79" s="4">
        <v>20</v>
      </c>
    </row>
    <row r="80" spans="1:22">
      <c r="A80" s="11" t="s">
        <v>160</v>
      </c>
      <c r="K80" s="13" t="s">
        <v>121</v>
      </c>
      <c r="L80" s="13">
        <v>1</v>
      </c>
      <c r="M80" s="13">
        <v>1</v>
      </c>
      <c r="N80" s="13">
        <v>1.25</v>
      </c>
      <c r="O80" s="13">
        <v>1.25</v>
      </c>
      <c r="P80" s="4">
        <v>1.25</v>
      </c>
      <c r="Q80" s="4">
        <v>1.5</v>
      </c>
      <c r="R80" s="4">
        <v>1.5</v>
      </c>
      <c r="S80" s="4">
        <v>1.5</v>
      </c>
      <c r="T80" s="4">
        <v>1.5</v>
      </c>
      <c r="U80" s="4">
        <v>1.5</v>
      </c>
      <c r="V80" s="4">
        <v>1.5</v>
      </c>
    </row>
    <row r="81" spans="1:22">
      <c r="K81" s="13" t="s">
        <v>122</v>
      </c>
      <c r="L81" s="13">
        <v>1.1000000000000001</v>
      </c>
      <c r="M81" s="13">
        <v>1.1000000000000001</v>
      </c>
      <c r="N81" s="13">
        <v>1.5</v>
      </c>
      <c r="O81" s="13">
        <v>1.5</v>
      </c>
      <c r="P81" s="4">
        <v>1.6</v>
      </c>
      <c r="Q81" s="4">
        <v>1.6</v>
      </c>
      <c r="R81" s="4">
        <v>1.7</v>
      </c>
      <c r="S81" s="4">
        <v>1.8</v>
      </c>
      <c r="T81" s="4">
        <v>2</v>
      </c>
      <c r="U81" s="4">
        <v>2.5</v>
      </c>
      <c r="V81" s="4">
        <v>2.5</v>
      </c>
    </row>
    <row r="82" spans="1:22">
      <c r="A82" s="3" t="s">
        <v>146</v>
      </c>
      <c r="B82" s="12">
        <v>40</v>
      </c>
      <c r="C82" s="12">
        <v>60</v>
      </c>
      <c r="D82" s="12">
        <v>80</v>
      </c>
      <c r="E82" s="12">
        <v>100</v>
      </c>
      <c r="F82" s="12">
        <v>130</v>
      </c>
      <c r="G82" s="12">
        <v>160</v>
      </c>
      <c r="H82" s="12">
        <v>190</v>
      </c>
      <c r="K82" s="13" t="s">
        <v>125</v>
      </c>
      <c r="L82" s="13">
        <v>0</v>
      </c>
      <c r="M82" s="13">
        <v>0</v>
      </c>
      <c r="N82" s="13">
        <v>0</v>
      </c>
      <c r="O82" s="13">
        <v>0.2</v>
      </c>
      <c r="P82" s="4">
        <v>0.2</v>
      </c>
      <c r="Q82" s="4">
        <v>0.3</v>
      </c>
      <c r="R82" s="4">
        <v>0.4</v>
      </c>
      <c r="S82" s="4">
        <v>0.5</v>
      </c>
      <c r="T82" s="4">
        <v>0.5</v>
      </c>
      <c r="U82" s="4">
        <v>0.5</v>
      </c>
      <c r="V82" s="4">
        <v>0.5</v>
      </c>
    </row>
    <row r="83" spans="1:22">
      <c r="A83" s="13" t="s">
        <v>112</v>
      </c>
      <c r="B83" s="13">
        <v>1</v>
      </c>
      <c r="C83" s="13">
        <v>1.5</v>
      </c>
      <c r="D83" s="13">
        <v>2</v>
      </c>
      <c r="E83" s="13">
        <v>2.5</v>
      </c>
      <c r="F83" s="13">
        <v>5</v>
      </c>
      <c r="G83" s="13">
        <v>7</v>
      </c>
      <c r="H83" s="13">
        <v>10</v>
      </c>
      <c r="K83" s="13" t="s">
        <v>126</v>
      </c>
      <c r="L83" s="13">
        <v>0.2</v>
      </c>
      <c r="M83" s="13">
        <v>0.3</v>
      </c>
      <c r="N83" s="13">
        <v>0.5</v>
      </c>
      <c r="O83" s="13">
        <v>0.4</v>
      </c>
      <c r="P83" s="4">
        <v>0.5</v>
      </c>
      <c r="Q83" s="4">
        <v>0.5</v>
      </c>
      <c r="R83" s="4">
        <v>0.6</v>
      </c>
      <c r="S83" s="4">
        <v>0.6</v>
      </c>
      <c r="T83" s="4">
        <v>0.8</v>
      </c>
      <c r="U83" s="4">
        <v>1</v>
      </c>
      <c r="V83" s="4">
        <v>1</v>
      </c>
    </row>
    <row r="84" spans="1:22">
      <c r="A84" s="13" t="s">
        <v>121</v>
      </c>
      <c r="B84" s="13">
        <v>0.75</v>
      </c>
      <c r="C84" s="13">
        <v>1</v>
      </c>
      <c r="D84" s="13">
        <v>1</v>
      </c>
      <c r="E84" s="13">
        <v>1.25</v>
      </c>
      <c r="F84" s="13">
        <v>1.25</v>
      </c>
      <c r="G84" s="13">
        <v>1.25</v>
      </c>
      <c r="H84" s="13">
        <v>1.25</v>
      </c>
      <c r="K84" s="13" t="s">
        <v>148</v>
      </c>
      <c r="L84" s="13">
        <v>0.1</v>
      </c>
      <c r="M84" s="13">
        <v>0.1</v>
      </c>
      <c r="N84" s="13">
        <v>0.4</v>
      </c>
      <c r="O84" s="13">
        <v>0.4</v>
      </c>
      <c r="P84" s="4">
        <v>0.5</v>
      </c>
      <c r="Q84" s="4">
        <v>0.5</v>
      </c>
      <c r="R84" s="4">
        <v>0.5</v>
      </c>
      <c r="S84" s="4">
        <v>0.5</v>
      </c>
      <c r="T84" s="4">
        <v>0.5</v>
      </c>
      <c r="U84" s="4">
        <v>0.5</v>
      </c>
      <c r="V84" s="4">
        <v>0.5</v>
      </c>
    </row>
    <row r="85" spans="1:22">
      <c r="A85" s="13" t="s">
        <v>122</v>
      </c>
      <c r="B85" s="13">
        <v>0.25</v>
      </c>
      <c r="C85" s="13">
        <v>0.35</v>
      </c>
      <c r="D85" s="13">
        <v>0.5</v>
      </c>
      <c r="E85" s="13">
        <v>0.8</v>
      </c>
      <c r="F85" s="13">
        <v>1</v>
      </c>
      <c r="G85" s="13"/>
      <c r="H85" s="13">
        <v>1.5</v>
      </c>
      <c r="K85" s="13" t="s">
        <v>149</v>
      </c>
      <c r="L85" s="13">
        <v>0.5</v>
      </c>
      <c r="M85" s="13">
        <v>0.5</v>
      </c>
      <c r="N85" s="13">
        <v>0.6</v>
      </c>
      <c r="O85" s="13">
        <v>0.6</v>
      </c>
      <c r="P85" s="4">
        <v>0.8</v>
      </c>
      <c r="Q85" s="4">
        <v>0.9</v>
      </c>
      <c r="R85" s="4">
        <v>1</v>
      </c>
      <c r="S85" s="4">
        <v>1</v>
      </c>
      <c r="T85" s="4">
        <v>1.25</v>
      </c>
      <c r="U85" s="4">
        <v>1.5</v>
      </c>
      <c r="V85" s="4">
        <v>1.5</v>
      </c>
    </row>
    <row r="86" spans="1:22">
      <c r="A86" s="13" t="s">
        <v>126</v>
      </c>
      <c r="B86" s="13">
        <v>0</v>
      </c>
      <c r="C86" s="13">
        <v>0</v>
      </c>
      <c r="D86" s="13">
        <v>0.1</v>
      </c>
      <c r="E86" s="13">
        <v>0.2</v>
      </c>
      <c r="F86" s="13">
        <v>0.3</v>
      </c>
      <c r="G86" s="13">
        <v>0.5</v>
      </c>
      <c r="H86" s="13">
        <v>0.5</v>
      </c>
      <c r="K86" s="13" t="s">
        <v>133</v>
      </c>
      <c r="L86" s="13">
        <v>0.05</v>
      </c>
      <c r="M86" s="13">
        <v>0.05</v>
      </c>
      <c r="N86" s="13">
        <v>0.3</v>
      </c>
      <c r="O86" s="13">
        <v>0.3</v>
      </c>
      <c r="P86" s="4">
        <v>0.4</v>
      </c>
      <c r="Q86" s="4">
        <v>0.4</v>
      </c>
      <c r="R86" s="4">
        <v>0.4</v>
      </c>
      <c r="S86" s="4">
        <v>0.4</v>
      </c>
      <c r="T86" s="4">
        <v>0.5</v>
      </c>
      <c r="U86" s="4">
        <v>0.5</v>
      </c>
      <c r="V86" s="4">
        <v>0.5</v>
      </c>
    </row>
    <row r="87" spans="1:22">
      <c r="A87" s="13" t="s">
        <v>148</v>
      </c>
      <c r="B87" s="13">
        <v>0</v>
      </c>
      <c r="C87" s="13">
        <v>0.1</v>
      </c>
      <c r="D87" s="13">
        <v>0.25</v>
      </c>
      <c r="E87" s="13">
        <v>0.25</v>
      </c>
      <c r="F87" s="13">
        <v>0.25</v>
      </c>
      <c r="G87" s="13">
        <v>0.25</v>
      </c>
      <c r="H87" s="13">
        <v>0.5</v>
      </c>
      <c r="K87" s="13" t="s">
        <v>61</v>
      </c>
      <c r="L87" s="13">
        <v>0</v>
      </c>
      <c r="M87" s="13">
        <v>0</v>
      </c>
      <c r="N87" s="13">
        <v>0</v>
      </c>
      <c r="O87" s="13">
        <v>0</v>
      </c>
      <c r="P87" s="4">
        <v>0.04</v>
      </c>
      <c r="Q87" s="4">
        <v>0.04</v>
      </c>
      <c r="R87" s="4">
        <v>0.04</v>
      </c>
      <c r="S87" s="4">
        <v>0.04</v>
      </c>
      <c r="T87" s="4">
        <v>0.05</v>
      </c>
      <c r="U87" s="4">
        <v>0.05</v>
      </c>
      <c r="V87" s="4">
        <v>0.05</v>
      </c>
    </row>
    <row r="88" spans="1:22">
      <c r="A88" s="13" t="s">
        <v>149</v>
      </c>
      <c r="B88" s="13">
        <v>0.1</v>
      </c>
      <c r="C88" s="13">
        <v>0.1</v>
      </c>
      <c r="D88" s="13">
        <v>0.1</v>
      </c>
      <c r="E88" s="13">
        <v>0.3</v>
      </c>
      <c r="F88" s="13">
        <v>0.5</v>
      </c>
      <c r="G88" s="13">
        <v>0.5</v>
      </c>
      <c r="H88" s="13">
        <v>0.75</v>
      </c>
      <c r="K88" s="13" t="s">
        <v>151</v>
      </c>
      <c r="L88" s="13">
        <v>0.05</v>
      </c>
      <c r="M88" s="13">
        <v>0.05</v>
      </c>
      <c r="N88" s="13">
        <v>0.1</v>
      </c>
      <c r="O88" s="13">
        <v>0.1</v>
      </c>
      <c r="P88" s="4">
        <v>0.1</v>
      </c>
      <c r="Q88" s="4">
        <v>0.1</v>
      </c>
      <c r="R88" s="4">
        <v>0.1</v>
      </c>
      <c r="S88" s="4">
        <v>0.1</v>
      </c>
      <c r="T88" s="4">
        <v>0.15</v>
      </c>
      <c r="U88" s="4">
        <v>0.15</v>
      </c>
      <c r="V88" s="4">
        <v>0.15</v>
      </c>
    </row>
    <row r="89" spans="1:22">
      <c r="A89" s="13" t="s">
        <v>133</v>
      </c>
      <c r="B89" s="13">
        <v>0.02</v>
      </c>
      <c r="C89" s="13">
        <v>0.03</v>
      </c>
      <c r="D89" s="13">
        <v>0.05</v>
      </c>
      <c r="E89" s="13">
        <v>7.0000000000000007E-2</v>
      </c>
      <c r="F89" s="13">
        <v>7.0000000000000007E-2</v>
      </c>
      <c r="G89" s="13">
        <v>0.08</v>
      </c>
      <c r="H89" s="13">
        <v>0.08</v>
      </c>
      <c r="K89" s="4" t="s">
        <v>152</v>
      </c>
      <c r="L89" s="4">
        <v>0.05</v>
      </c>
      <c r="M89" s="4">
        <v>0.05</v>
      </c>
      <c r="N89" s="4">
        <v>0.1</v>
      </c>
      <c r="O89" s="4">
        <v>0.1</v>
      </c>
      <c r="P89" s="4">
        <v>0.1</v>
      </c>
      <c r="Q89" s="4">
        <v>0.1</v>
      </c>
      <c r="R89" s="4">
        <v>0.1</v>
      </c>
      <c r="S89" s="4">
        <v>0.1</v>
      </c>
      <c r="T89" s="4">
        <v>0.1</v>
      </c>
      <c r="U89" s="4">
        <v>0.1</v>
      </c>
      <c r="V89" s="4">
        <v>0.1</v>
      </c>
    </row>
    <row r="90" spans="1:22">
      <c r="A90" s="13" t="s">
        <v>151</v>
      </c>
      <c r="B90" s="13">
        <v>0.02</v>
      </c>
      <c r="C90" s="13">
        <v>0.02</v>
      </c>
      <c r="D90" s="13">
        <v>0.03</v>
      </c>
      <c r="E90" s="13">
        <v>0.03</v>
      </c>
      <c r="F90" s="13">
        <v>0.04</v>
      </c>
      <c r="G90" s="13">
        <v>0.05</v>
      </c>
      <c r="H90" s="13">
        <v>7.0000000000000007E-2</v>
      </c>
    </row>
    <row r="93" spans="1:22">
      <c r="K93" s="11" t="s">
        <v>160</v>
      </c>
    </row>
    <row r="95" spans="1:22">
      <c r="K95" s="3" t="s">
        <v>146</v>
      </c>
      <c r="L95" s="12">
        <v>100</v>
      </c>
      <c r="M95" s="12">
        <v>150</v>
      </c>
      <c r="N95" s="12">
        <v>200</v>
      </c>
      <c r="O95" s="12">
        <v>250</v>
      </c>
      <c r="P95" s="12">
        <v>300</v>
      </c>
      <c r="Q95" s="12">
        <v>350</v>
      </c>
      <c r="R95" s="12">
        <v>400</v>
      </c>
      <c r="S95" s="12">
        <v>450</v>
      </c>
      <c r="T95" s="12">
        <v>500</v>
      </c>
      <c r="U95" s="12">
        <v>550</v>
      </c>
      <c r="V95" s="12">
        <v>600</v>
      </c>
    </row>
    <row r="96" spans="1:22">
      <c r="K96" s="13" t="s">
        <v>112</v>
      </c>
      <c r="L96" s="13">
        <v>1</v>
      </c>
      <c r="M96" s="13">
        <v>3</v>
      </c>
      <c r="N96" s="13">
        <v>5</v>
      </c>
      <c r="O96" s="13">
        <v>6</v>
      </c>
      <c r="P96" s="4">
        <v>8</v>
      </c>
      <c r="Q96" s="4">
        <v>9</v>
      </c>
      <c r="R96" s="4">
        <v>10</v>
      </c>
      <c r="S96" s="4">
        <v>11</v>
      </c>
      <c r="T96" s="4">
        <v>12.5</v>
      </c>
      <c r="U96" s="4">
        <v>13</v>
      </c>
      <c r="V96" s="4">
        <v>14</v>
      </c>
    </row>
    <row r="97" spans="1:22">
      <c r="K97" s="13" t="s">
        <v>121</v>
      </c>
      <c r="L97" s="13">
        <v>1</v>
      </c>
      <c r="M97" s="13">
        <v>1</v>
      </c>
      <c r="N97" s="13">
        <v>1.25</v>
      </c>
      <c r="O97" s="13">
        <v>1.25</v>
      </c>
      <c r="P97" s="4">
        <v>1.25</v>
      </c>
      <c r="Q97" s="4">
        <v>1.5</v>
      </c>
      <c r="R97" s="4">
        <v>1.5</v>
      </c>
      <c r="S97" s="4">
        <v>1.5</v>
      </c>
      <c r="T97" s="4">
        <v>1.5</v>
      </c>
      <c r="U97" s="4">
        <v>1.5</v>
      </c>
      <c r="V97" s="4">
        <v>1.5</v>
      </c>
    </row>
    <row r="98" spans="1:22">
      <c r="K98" s="13" t="s">
        <v>122</v>
      </c>
      <c r="L98" s="13">
        <v>1.1000000000000001</v>
      </c>
      <c r="M98" s="13">
        <v>1.1000000000000001</v>
      </c>
      <c r="N98" s="13">
        <v>1.5</v>
      </c>
      <c r="O98" s="13">
        <v>1.5</v>
      </c>
      <c r="P98" s="4">
        <v>1.6</v>
      </c>
      <c r="Q98" s="4">
        <v>1.6</v>
      </c>
      <c r="R98" s="4">
        <v>1.7</v>
      </c>
      <c r="S98" s="4">
        <v>1.8</v>
      </c>
      <c r="T98" s="4">
        <v>2</v>
      </c>
      <c r="U98" s="4">
        <v>2.5</v>
      </c>
      <c r="V98" s="4">
        <v>2.5</v>
      </c>
    </row>
    <row r="99" spans="1:22">
      <c r="K99" s="13" t="s">
        <v>125</v>
      </c>
      <c r="L99" s="13">
        <v>0</v>
      </c>
      <c r="M99" s="13">
        <v>0</v>
      </c>
      <c r="N99" s="13">
        <v>0</v>
      </c>
      <c r="O99" s="13">
        <v>0.2</v>
      </c>
      <c r="P99" s="4">
        <v>0.2</v>
      </c>
      <c r="Q99" s="4">
        <v>0.3</v>
      </c>
      <c r="R99" s="4">
        <v>0.4</v>
      </c>
      <c r="S99" s="4">
        <v>0.5</v>
      </c>
      <c r="T99" s="4">
        <v>0.5</v>
      </c>
      <c r="U99" s="4">
        <v>0.5</v>
      </c>
      <c r="V99" s="4">
        <v>0.5</v>
      </c>
    </row>
    <row r="100" spans="1:22">
      <c r="K100" s="13" t="s">
        <v>126</v>
      </c>
      <c r="L100" s="13">
        <v>0.2</v>
      </c>
      <c r="M100" s="13">
        <v>0.3</v>
      </c>
      <c r="N100" s="13">
        <v>0.5</v>
      </c>
      <c r="O100" s="13">
        <v>0.4</v>
      </c>
      <c r="P100" s="4">
        <v>0.5</v>
      </c>
      <c r="Q100" s="4">
        <v>0.5</v>
      </c>
      <c r="R100" s="4">
        <v>0.6</v>
      </c>
      <c r="S100" s="4">
        <v>0.6</v>
      </c>
      <c r="T100" s="4">
        <v>0.8</v>
      </c>
      <c r="U100" s="4">
        <v>1</v>
      </c>
      <c r="V100" s="4">
        <v>1</v>
      </c>
    </row>
    <row r="101" spans="1:22">
      <c r="K101" s="13" t="s">
        <v>148</v>
      </c>
      <c r="L101" s="13">
        <v>0.1</v>
      </c>
      <c r="M101" s="13">
        <v>0.1</v>
      </c>
      <c r="N101" s="13">
        <v>0.4</v>
      </c>
      <c r="O101" s="13">
        <v>0.4</v>
      </c>
      <c r="P101" s="4">
        <v>0.5</v>
      </c>
      <c r="Q101" s="4">
        <v>0.5</v>
      </c>
      <c r="R101" s="4">
        <v>0.5</v>
      </c>
      <c r="S101" s="4">
        <v>0.5</v>
      </c>
      <c r="T101" s="4">
        <v>0.5</v>
      </c>
      <c r="U101" s="4">
        <v>0.5</v>
      </c>
      <c r="V101" s="4">
        <v>0.5</v>
      </c>
    </row>
    <row r="102" spans="1:22">
      <c r="K102" s="13" t="s">
        <v>149</v>
      </c>
      <c r="L102" s="13">
        <v>0.5</v>
      </c>
      <c r="M102" s="13">
        <v>0.5</v>
      </c>
      <c r="N102" s="13">
        <v>0.6</v>
      </c>
      <c r="O102" s="13">
        <v>0.6</v>
      </c>
      <c r="P102" s="4">
        <v>0.8</v>
      </c>
      <c r="Q102" s="4">
        <v>0.9</v>
      </c>
      <c r="R102" s="4">
        <v>1</v>
      </c>
      <c r="S102" s="4">
        <v>1</v>
      </c>
      <c r="T102" s="4">
        <v>1.25</v>
      </c>
      <c r="U102" s="4">
        <v>1.5</v>
      </c>
      <c r="V102" s="4">
        <v>1.5</v>
      </c>
    </row>
    <row r="103" spans="1:22">
      <c r="K103" s="13" t="s">
        <v>133</v>
      </c>
      <c r="L103" s="13">
        <v>0.05</v>
      </c>
      <c r="M103" s="13">
        <v>0.05</v>
      </c>
      <c r="N103" s="13">
        <v>0.3</v>
      </c>
      <c r="O103" s="13">
        <v>0.3</v>
      </c>
      <c r="P103" s="4">
        <v>0.4</v>
      </c>
      <c r="Q103" s="4">
        <v>0.4</v>
      </c>
      <c r="R103" s="4">
        <v>0.4</v>
      </c>
      <c r="S103" s="4">
        <v>0.4</v>
      </c>
      <c r="T103" s="4">
        <v>0.5</v>
      </c>
      <c r="U103" s="4">
        <v>0.5</v>
      </c>
      <c r="V103" s="4">
        <v>0.5</v>
      </c>
    </row>
    <row r="104" spans="1:22">
      <c r="K104" s="13" t="s">
        <v>61</v>
      </c>
      <c r="L104" s="13">
        <v>0</v>
      </c>
      <c r="M104" s="13">
        <v>0</v>
      </c>
      <c r="N104" s="13">
        <v>0</v>
      </c>
      <c r="O104" s="13">
        <v>0</v>
      </c>
      <c r="P104" s="4">
        <v>0.04</v>
      </c>
      <c r="Q104" s="4">
        <v>0.04</v>
      </c>
      <c r="R104" s="4">
        <v>0.04</v>
      </c>
      <c r="S104" s="4">
        <v>0.04</v>
      </c>
      <c r="T104" s="4">
        <v>0.05</v>
      </c>
      <c r="U104" s="4">
        <v>0.05</v>
      </c>
      <c r="V104" s="4">
        <v>0.05</v>
      </c>
    </row>
    <row r="105" spans="1:22">
      <c r="K105" s="13" t="s">
        <v>151</v>
      </c>
      <c r="L105" s="13">
        <v>0.05</v>
      </c>
      <c r="M105" s="13">
        <v>0.05</v>
      </c>
      <c r="N105" s="13">
        <v>0.1</v>
      </c>
      <c r="O105" s="13">
        <v>0.1</v>
      </c>
      <c r="P105" s="4">
        <v>0.1</v>
      </c>
      <c r="Q105" s="4">
        <v>0.1</v>
      </c>
      <c r="R105" s="4">
        <v>0.1</v>
      </c>
      <c r="S105" s="4">
        <v>0.1</v>
      </c>
      <c r="T105" s="4">
        <v>0.15</v>
      </c>
      <c r="U105" s="4">
        <v>0.15</v>
      </c>
      <c r="V105" s="4">
        <v>0.15</v>
      </c>
    </row>
    <row r="106" spans="1:22">
      <c r="K106" s="4" t="s">
        <v>152</v>
      </c>
      <c r="L106" s="4">
        <v>0.05</v>
      </c>
      <c r="M106" s="4">
        <v>0.05</v>
      </c>
      <c r="N106" s="4">
        <v>0.1</v>
      </c>
      <c r="O106" s="4">
        <v>0.1</v>
      </c>
      <c r="P106" s="4">
        <v>0.1</v>
      </c>
      <c r="Q106" s="4">
        <v>0.1</v>
      </c>
      <c r="R106" s="4">
        <v>0.1</v>
      </c>
      <c r="S106" s="4">
        <v>0.1</v>
      </c>
      <c r="T106" s="4">
        <v>0.1</v>
      </c>
      <c r="U106" s="4">
        <v>0.1</v>
      </c>
      <c r="V106" s="4">
        <v>0.1</v>
      </c>
    </row>
    <row r="110" spans="1:22">
      <c r="A110" s="14" t="s">
        <v>161</v>
      </c>
      <c r="K110" s="14" t="s">
        <v>161</v>
      </c>
    </row>
    <row r="111" spans="1:22">
      <c r="A111" s="2" t="s">
        <v>138</v>
      </c>
      <c r="K111" s="2" t="s">
        <v>162</v>
      </c>
    </row>
    <row r="112" spans="1:22">
      <c r="A112" s="11" t="s">
        <v>163</v>
      </c>
      <c r="K112" s="11" t="s">
        <v>163</v>
      </c>
    </row>
    <row r="114" spans="1:15">
      <c r="A114" s="3" t="s">
        <v>0</v>
      </c>
      <c r="B114" s="12">
        <v>400</v>
      </c>
      <c r="C114" s="12">
        <v>450</v>
      </c>
      <c r="D114" s="3">
        <v>500</v>
      </c>
      <c r="E114" s="15"/>
      <c r="F114" s="15"/>
      <c r="G114" s="15"/>
      <c r="H114" s="15"/>
      <c r="K114" s="3" t="s">
        <v>0</v>
      </c>
      <c r="L114" s="12">
        <v>600</v>
      </c>
      <c r="M114" s="12">
        <v>650</v>
      </c>
      <c r="N114" s="3">
        <v>700</v>
      </c>
      <c r="O114" s="3">
        <v>750</v>
      </c>
    </row>
    <row r="115" spans="1:15">
      <c r="A115" s="13" t="s">
        <v>164</v>
      </c>
      <c r="B115" s="13">
        <v>16</v>
      </c>
      <c r="C115" s="13">
        <v>19</v>
      </c>
      <c r="D115" s="16">
        <v>22</v>
      </c>
      <c r="E115" s="16"/>
      <c r="F115" s="16"/>
      <c r="G115" s="16"/>
      <c r="H115" s="16"/>
      <c r="K115" s="13" t="s">
        <v>164</v>
      </c>
      <c r="L115" s="13">
        <v>23</v>
      </c>
      <c r="M115" s="13">
        <v>25</v>
      </c>
      <c r="N115" s="13">
        <v>25</v>
      </c>
      <c r="O115" s="13">
        <v>27</v>
      </c>
    </row>
    <row r="116" spans="1:15">
      <c r="A116" s="13" t="s">
        <v>121</v>
      </c>
      <c r="B116" s="17">
        <v>1.5</v>
      </c>
      <c r="C116" s="13">
        <v>1.5</v>
      </c>
      <c r="D116" s="13">
        <v>1.5</v>
      </c>
      <c r="E116" s="16"/>
      <c r="F116" s="16"/>
      <c r="G116" s="16"/>
      <c r="H116" s="16"/>
      <c r="K116" s="13" t="s">
        <v>121</v>
      </c>
      <c r="L116" s="13">
        <v>1.5</v>
      </c>
      <c r="M116" s="13">
        <v>1.5</v>
      </c>
      <c r="N116" s="13">
        <v>2</v>
      </c>
      <c r="O116" s="13">
        <v>2</v>
      </c>
    </row>
    <row r="117" spans="1:15">
      <c r="A117" s="13" t="s">
        <v>122</v>
      </c>
      <c r="B117" s="17">
        <v>0.3</v>
      </c>
      <c r="C117" s="13">
        <v>0.3</v>
      </c>
      <c r="D117" s="13">
        <v>0.3</v>
      </c>
      <c r="E117" s="16"/>
      <c r="F117" s="16"/>
      <c r="G117" s="16"/>
      <c r="H117" s="16"/>
      <c r="K117" s="13" t="s">
        <v>122</v>
      </c>
      <c r="L117" s="17">
        <v>0.3</v>
      </c>
      <c r="M117" s="13">
        <v>0.4</v>
      </c>
      <c r="N117" s="13">
        <v>0.5</v>
      </c>
      <c r="O117" s="13">
        <v>0.75</v>
      </c>
    </row>
    <row r="118" spans="1:15">
      <c r="A118" s="13" t="s">
        <v>126</v>
      </c>
      <c r="B118" s="17">
        <v>0.25</v>
      </c>
      <c r="C118" s="13">
        <v>0.25</v>
      </c>
      <c r="D118" s="13">
        <v>0.25</v>
      </c>
      <c r="E118" s="16"/>
      <c r="F118" s="16"/>
      <c r="G118" s="16"/>
      <c r="H118" s="16"/>
      <c r="K118" s="13" t="s">
        <v>126</v>
      </c>
      <c r="L118" s="17">
        <v>0.5</v>
      </c>
      <c r="M118" s="13">
        <v>1</v>
      </c>
      <c r="N118" s="13">
        <v>1</v>
      </c>
      <c r="O118" s="13">
        <v>1</v>
      </c>
    </row>
    <row r="119" spans="1:15">
      <c r="A119" s="13" t="s">
        <v>148</v>
      </c>
      <c r="B119" s="17">
        <v>0</v>
      </c>
      <c r="C119" s="13">
        <v>0</v>
      </c>
      <c r="D119" s="13">
        <v>0</v>
      </c>
      <c r="E119" s="16"/>
      <c r="F119" s="16"/>
      <c r="G119" s="16"/>
      <c r="H119" s="16"/>
      <c r="K119" s="13" t="s">
        <v>148</v>
      </c>
      <c r="L119" s="17">
        <v>0.2</v>
      </c>
      <c r="M119" s="13">
        <v>0.3</v>
      </c>
      <c r="N119" s="13">
        <v>0.3</v>
      </c>
      <c r="O119" s="13">
        <v>0.5</v>
      </c>
    </row>
    <row r="120" spans="1:15">
      <c r="A120" s="13" t="s">
        <v>149</v>
      </c>
      <c r="B120" s="17">
        <v>0.2</v>
      </c>
      <c r="C120" s="13">
        <v>0.2</v>
      </c>
      <c r="D120" s="13">
        <v>0.3</v>
      </c>
      <c r="E120" s="16"/>
      <c r="F120" s="16"/>
      <c r="G120" s="16"/>
      <c r="H120" s="16"/>
      <c r="K120" s="13" t="s">
        <v>149</v>
      </c>
      <c r="L120" s="17">
        <v>0.5</v>
      </c>
      <c r="M120" s="13">
        <v>0.7</v>
      </c>
      <c r="N120" s="13">
        <v>0.7</v>
      </c>
      <c r="O120" s="13">
        <v>0.7</v>
      </c>
    </row>
    <row r="121" spans="1:15">
      <c r="A121" s="13" t="s">
        <v>133</v>
      </c>
      <c r="B121" s="17">
        <v>0</v>
      </c>
      <c r="C121" s="13">
        <v>0</v>
      </c>
      <c r="D121" s="13">
        <v>0</v>
      </c>
      <c r="E121" s="16"/>
      <c r="F121" s="16"/>
      <c r="G121" s="16"/>
      <c r="H121" s="16"/>
      <c r="K121" s="13" t="s">
        <v>133</v>
      </c>
      <c r="L121" s="17">
        <v>0</v>
      </c>
      <c r="M121" s="13">
        <v>0</v>
      </c>
      <c r="N121" s="13">
        <v>0</v>
      </c>
      <c r="O121" s="13">
        <v>0</v>
      </c>
    </row>
    <row r="122" spans="1:15">
      <c r="A122" s="13" t="s">
        <v>150</v>
      </c>
      <c r="B122" s="17">
        <v>0.05</v>
      </c>
      <c r="C122" s="13">
        <v>0.05</v>
      </c>
      <c r="D122" s="13">
        <v>0.05</v>
      </c>
      <c r="E122" s="16"/>
      <c r="F122" s="16"/>
      <c r="G122" s="16"/>
      <c r="H122" s="16"/>
      <c r="K122" s="13" t="s">
        <v>150</v>
      </c>
      <c r="L122" s="17">
        <v>0.05</v>
      </c>
      <c r="M122" s="13">
        <v>0.05</v>
      </c>
      <c r="N122" s="13">
        <v>0.05</v>
      </c>
      <c r="O122" s="13">
        <v>0.05</v>
      </c>
    </row>
    <row r="123" spans="1:15">
      <c r="A123" s="13" t="s">
        <v>151</v>
      </c>
      <c r="B123" s="17">
        <v>0.05</v>
      </c>
      <c r="C123" s="13">
        <v>0.05</v>
      </c>
      <c r="D123" s="13">
        <v>0.05</v>
      </c>
      <c r="E123" s="16"/>
      <c r="F123" s="16"/>
      <c r="G123" s="16"/>
      <c r="H123" s="16"/>
      <c r="K123" s="13" t="s">
        <v>151</v>
      </c>
      <c r="L123" s="17">
        <v>0.05</v>
      </c>
      <c r="M123" s="13">
        <v>0.05</v>
      </c>
      <c r="N123" s="13">
        <v>0.05</v>
      </c>
      <c r="O123" s="13">
        <v>0.05</v>
      </c>
    </row>
    <row r="127" spans="1:15">
      <c r="A127" s="11" t="s">
        <v>145</v>
      </c>
      <c r="K127" s="11" t="s">
        <v>145</v>
      </c>
    </row>
    <row r="129" spans="1:15">
      <c r="A129" s="3" t="s">
        <v>0</v>
      </c>
      <c r="B129" s="12">
        <v>400</v>
      </c>
      <c r="C129" s="12">
        <v>450</v>
      </c>
      <c r="D129" s="3">
        <v>500</v>
      </c>
      <c r="K129" s="3" t="s">
        <v>0</v>
      </c>
      <c r="L129" s="12">
        <v>600</v>
      </c>
      <c r="M129" s="12">
        <v>650</v>
      </c>
      <c r="N129" s="3">
        <v>700</v>
      </c>
      <c r="O129" s="3">
        <v>750</v>
      </c>
    </row>
    <row r="130" spans="1:15">
      <c r="A130" s="13" t="s">
        <v>147</v>
      </c>
      <c r="B130" s="13">
        <v>19</v>
      </c>
      <c r="C130" s="13">
        <v>21</v>
      </c>
      <c r="D130">
        <v>23</v>
      </c>
      <c r="K130" s="13" t="s">
        <v>147</v>
      </c>
      <c r="L130" s="13">
        <v>23</v>
      </c>
      <c r="M130" s="13">
        <v>25</v>
      </c>
      <c r="N130" s="13">
        <v>28</v>
      </c>
      <c r="O130" s="13">
        <v>30</v>
      </c>
    </row>
    <row r="131" spans="1:15">
      <c r="A131" s="13" t="s">
        <v>121</v>
      </c>
      <c r="B131" s="17">
        <v>2</v>
      </c>
      <c r="C131" s="13">
        <v>2</v>
      </c>
      <c r="D131" s="13">
        <v>2</v>
      </c>
      <c r="K131" s="13" t="s">
        <v>121</v>
      </c>
      <c r="L131" s="13">
        <v>1.5</v>
      </c>
      <c r="M131" s="13">
        <v>1.5</v>
      </c>
      <c r="N131" s="13">
        <v>2</v>
      </c>
      <c r="O131" s="13">
        <v>2</v>
      </c>
    </row>
    <row r="132" spans="1:15">
      <c r="A132" s="13" t="s">
        <v>122</v>
      </c>
      <c r="B132" s="17">
        <v>0.4</v>
      </c>
      <c r="C132" s="13">
        <v>0.4</v>
      </c>
      <c r="D132" s="13">
        <v>0.4</v>
      </c>
      <c r="K132" s="13" t="s">
        <v>122</v>
      </c>
      <c r="L132" s="13">
        <v>0.5</v>
      </c>
      <c r="M132" s="13">
        <v>0.5</v>
      </c>
      <c r="N132" s="13">
        <v>0.75</v>
      </c>
      <c r="O132" s="13">
        <v>0.75</v>
      </c>
    </row>
    <row r="133" spans="1:15">
      <c r="A133" s="13" t="s">
        <v>126</v>
      </c>
      <c r="B133" s="17">
        <v>0.25</v>
      </c>
      <c r="C133" s="13">
        <v>0.25</v>
      </c>
      <c r="D133" s="13">
        <v>0.25</v>
      </c>
      <c r="K133" s="13" t="s">
        <v>126</v>
      </c>
      <c r="L133" s="13">
        <v>1.25</v>
      </c>
      <c r="M133" s="13">
        <v>1.25</v>
      </c>
      <c r="N133" s="13">
        <v>1.25</v>
      </c>
      <c r="O133" s="13">
        <v>1.25</v>
      </c>
    </row>
    <row r="134" spans="1:15">
      <c r="A134" s="13" t="s">
        <v>148</v>
      </c>
      <c r="B134" s="17">
        <v>0.2</v>
      </c>
      <c r="C134" s="13">
        <v>0.2</v>
      </c>
      <c r="D134" s="13">
        <v>0.2</v>
      </c>
      <c r="K134" s="13" t="s">
        <v>148</v>
      </c>
      <c r="L134" s="13">
        <v>0.5</v>
      </c>
      <c r="M134" s="13">
        <v>0.5</v>
      </c>
      <c r="N134" s="13">
        <v>0.5</v>
      </c>
      <c r="O134" s="13">
        <v>0.5</v>
      </c>
    </row>
    <row r="135" spans="1:15">
      <c r="A135" s="13" t="s">
        <v>149</v>
      </c>
      <c r="B135" s="17">
        <v>0</v>
      </c>
      <c r="C135" s="13">
        <v>0</v>
      </c>
      <c r="D135" s="13">
        <v>0</v>
      </c>
      <c r="K135" s="13" t="s">
        <v>149</v>
      </c>
      <c r="L135" s="13">
        <v>0.7</v>
      </c>
      <c r="M135" s="13">
        <v>0.7</v>
      </c>
      <c r="N135" s="13">
        <v>0.7</v>
      </c>
      <c r="O135" s="13">
        <v>0.7</v>
      </c>
    </row>
    <row r="136" spans="1:15">
      <c r="A136" s="13" t="s">
        <v>133</v>
      </c>
      <c r="B136" s="17">
        <v>0</v>
      </c>
      <c r="C136" s="13">
        <v>0</v>
      </c>
      <c r="D136" s="13">
        <v>0</v>
      </c>
      <c r="K136" s="13" t="s">
        <v>133</v>
      </c>
      <c r="L136" s="13">
        <v>0</v>
      </c>
      <c r="M136" s="13">
        <v>0</v>
      </c>
      <c r="N136" s="13">
        <v>0</v>
      </c>
      <c r="O136" s="13">
        <v>0</v>
      </c>
    </row>
    <row r="137" spans="1:15">
      <c r="A137" s="13" t="s">
        <v>150</v>
      </c>
      <c r="B137" s="17">
        <v>0.05</v>
      </c>
      <c r="C137" s="13">
        <v>0.05</v>
      </c>
      <c r="D137" s="13">
        <v>0.05</v>
      </c>
      <c r="K137" s="13" t="s">
        <v>150</v>
      </c>
      <c r="L137" s="13">
        <v>0.05</v>
      </c>
      <c r="M137" s="13">
        <v>0.05</v>
      </c>
      <c r="N137" s="13">
        <v>0.05</v>
      </c>
      <c r="O137" s="13">
        <v>0.05</v>
      </c>
    </row>
    <row r="138" spans="1:15">
      <c r="A138" s="13" t="s">
        <v>151</v>
      </c>
      <c r="B138" s="17">
        <v>0.05</v>
      </c>
      <c r="C138" s="13">
        <v>0.05</v>
      </c>
      <c r="D138" s="13">
        <v>0.05</v>
      </c>
      <c r="K138" s="13" t="s">
        <v>151</v>
      </c>
      <c r="L138" s="13">
        <v>0.05</v>
      </c>
      <c r="M138" s="13">
        <v>0.05</v>
      </c>
      <c r="N138" s="13">
        <v>0.05</v>
      </c>
      <c r="O138" s="13">
        <v>0.05</v>
      </c>
    </row>
    <row r="139" spans="1:15">
      <c r="K139" s="13" t="s">
        <v>150</v>
      </c>
      <c r="L139" s="13">
        <v>0.05</v>
      </c>
      <c r="M139" s="13">
        <v>0.05</v>
      </c>
      <c r="N139" s="13">
        <v>0.05</v>
      </c>
      <c r="O139" s="13">
        <v>0.05</v>
      </c>
    </row>
    <row r="140" spans="1:15">
      <c r="K140" s="13"/>
      <c r="L140" s="13"/>
      <c r="M140" s="13"/>
      <c r="N140" s="13"/>
      <c r="O140" s="13"/>
    </row>
    <row r="141" spans="1:15">
      <c r="A141" s="11" t="s">
        <v>154</v>
      </c>
    </row>
    <row r="142" spans="1:15">
      <c r="K142" s="11" t="s">
        <v>154</v>
      </c>
    </row>
    <row r="143" spans="1:15">
      <c r="A143" s="3" t="s">
        <v>0</v>
      </c>
      <c r="B143" s="12">
        <v>400</v>
      </c>
      <c r="C143" s="12">
        <v>450</v>
      </c>
      <c r="D143" s="3">
        <v>500</v>
      </c>
    </row>
    <row r="144" spans="1:15">
      <c r="A144" s="13" t="s">
        <v>155</v>
      </c>
      <c r="B144" s="13">
        <v>19</v>
      </c>
      <c r="C144" s="13">
        <v>21</v>
      </c>
      <c r="D144">
        <v>23</v>
      </c>
      <c r="K144" s="3" t="s">
        <v>0</v>
      </c>
      <c r="L144" s="12">
        <v>600</v>
      </c>
      <c r="M144" s="12">
        <v>650</v>
      </c>
      <c r="N144" s="3">
        <v>700</v>
      </c>
      <c r="O144" s="3">
        <v>750</v>
      </c>
    </row>
    <row r="145" spans="1:15">
      <c r="A145" s="13" t="s">
        <v>121</v>
      </c>
      <c r="B145" s="17">
        <v>2</v>
      </c>
      <c r="C145" s="13">
        <v>2</v>
      </c>
      <c r="D145" s="13">
        <v>2</v>
      </c>
      <c r="K145" s="13" t="s">
        <v>155</v>
      </c>
      <c r="L145" s="13">
        <v>23</v>
      </c>
      <c r="M145" s="13">
        <v>25</v>
      </c>
      <c r="N145" s="13">
        <v>28</v>
      </c>
      <c r="O145" s="13">
        <v>30</v>
      </c>
    </row>
    <row r="146" spans="1:15">
      <c r="A146" s="13" t="s">
        <v>122</v>
      </c>
      <c r="B146" s="17">
        <v>0.4</v>
      </c>
      <c r="C146" s="13">
        <v>0.4</v>
      </c>
      <c r="D146" s="13">
        <v>0.4</v>
      </c>
      <c r="K146" s="13" t="s">
        <v>121</v>
      </c>
      <c r="L146" s="13">
        <v>1.5</v>
      </c>
      <c r="M146" s="13">
        <v>1.5</v>
      </c>
      <c r="N146" s="13">
        <v>2</v>
      </c>
      <c r="O146" s="13">
        <v>2</v>
      </c>
    </row>
    <row r="147" spans="1:15">
      <c r="A147" s="13" t="s">
        <v>126</v>
      </c>
      <c r="B147" s="17">
        <v>0.25</v>
      </c>
      <c r="C147" s="13">
        <v>0.25</v>
      </c>
      <c r="D147" s="13">
        <v>0.25</v>
      </c>
      <c r="K147" s="13" t="s">
        <v>122</v>
      </c>
      <c r="L147" s="13">
        <v>0.5</v>
      </c>
      <c r="M147" s="13">
        <v>0.5</v>
      </c>
      <c r="N147" s="13">
        <v>0.75</v>
      </c>
      <c r="O147" s="13">
        <v>0.75</v>
      </c>
    </row>
    <row r="148" spans="1:15">
      <c r="A148" s="13" t="s">
        <v>148</v>
      </c>
      <c r="B148" s="17">
        <v>0.2</v>
      </c>
      <c r="C148" s="13">
        <v>0.2</v>
      </c>
      <c r="D148" s="13">
        <v>0.2</v>
      </c>
      <c r="K148" s="13" t="s">
        <v>126</v>
      </c>
      <c r="L148" s="13">
        <v>1.25</v>
      </c>
      <c r="M148" s="13">
        <v>1.25</v>
      </c>
      <c r="N148" s="13">
        <v>1.25</v>
      </c>
      <c r="O148" s="13">
        <v>1.25</v>
      </c>
    </row>
    <row r="149" spans="1:15">
      <c r="A149" s="13" t="s">
        <v>149</v>
      </c>
      <c r="B149" s="17">
        <v>0</v>
      </c>
      <c r="C149" s="13">
        <v>0</v>
      </c>
      <c r="D149" s="13">
        <v>0</v>
      </c>
      <c r="K149" s="13" t="s">
        <v>148</v>
      </c>
      <c r="L149" s="13">
        <v>0.5</v>
      </c>
      <c r="M149" s="13">
        <v>0.5</v>
      </c>
      <c r="N149" s="13">
        <v>0.5</v>
      </c>
      <c r="O149" s="13">
        <v>0.5</v>
      </c>
    </row>
    <row r="150" spans="1:15">
      <c r="A150" s="13" t="s">
        <v>133</v>
      </c>
      <c r="B150" s="17">
        <v>0</v>
      </c>
      <c r="C150" s="13">
        <v>0</v>
      </c>
      <c r="D150" s="13">
        <v>0</v>
      </c>
      <c r="K150" s="13" t="s">
        <v>149</v>
      </c>
      <c r="L150" s="13">
        <v>0.7</v>
      </c>
      <c r="M150" s="13">
        <v>0.7</v>
      </c>
      <c r="N150" s="13">
        <v>0.7</v>
      </c>
      <c r="O150" s="13">
        <v>0.7</v>
      </c>
    </row>
    <row r="151" spans="1:15">
      <c r="A151" s="13" t="s">
        <v>150</v>
      </c>
      <c r="B151" s="17">
        <v>0.05</v>
      </c>
      <c r="C151" s="13">
        <v>0.05</v>
      </c>
      <c r="D151" s="13">
        <v>0.05</v>
      </c>
      <c r="K151" s="13" t="s">
        <v>133</v>
      </c>
      <c r="L151" s="13">
        <v>0</v>
      </c>
      <c r="M151" s="13">
        <v>0</v>
      </c>
      <c r="N151" s="13">
        <v>0</v>
      </c>
      <c r="O151" s="13">
        <v>0</v>
      </c>
    </row>
    <row r="152" spans="1:15">
      <c r="A152" s="13" t="s">
        <v>151</v>
      </c>
      <c r="B152" s="17">
        <v>0.05</v>
      </c>
      <c r="C152" s="13">
        <v>0.05</v>
      </c>
      <c r="D152" s="13">
        <v>0.05</v>
      </c>
      <c r="K152" s="13" t="s">
        <v>150</v>
      </c>
      <c r="L152" s="13">
        <v>0.05</v>
      </c>
      <c r="M152" s="13">
        <v>0.05</v>
      </c>
      <c r="N152" s="13">
        <v>0.05</v>
      </c>
      <c r="O152" s="13">
        <v>0.05</v>
      </c>
    </row>
    <row r="153" spans="1:15">
      <c r="K153" s="13" t="s">
        <v>151</v>
      </c>
      <c r="L153" s="13">
        <v>0.05</v>
      </c>
      <c r="M153" s="13">
        <v>0.05</v>
      </c>
      <c r="N153" s="13">
        <v>0.05</v>
      </c>
      <c r="O153" s="13">
        <v>0.05</v>
      </c>
    </row>
    <row r="154" spans="1:15">
      <c r="K154" s="13" t="s">
        <v>150</v>
      </c>
      <c r="L154" s="13">
        <v>0.05</v>
      </c>
      <c r="M154" s="13">
        <v>0.05</v>
      </c>
      <c r="N154" s="13">
        <v>0.05</v>
      </c>
      <c r="O154" s="13">
        <v>0.05</v>
      </c>
    </row>
    <row r="155" spans="1:15">
      <c r="A155" s="11" t="s">
        <v>156</v>
      </c>
      <c r="K155" s="13"/>
      <c r="L155" s="13"/>
      <c r="M155" s="13"/>
      <c r="N155" s="13"/>
      <c r="O155" s="13"/>
    </row>
    <row r="157" spans="1:15">
      <c r="A157" s="3" t="s">
        <v>0</v>
      </c>
      <c r="B157" s="12">
        <v>400</v>
      </c>
      <c r="C157" s="12">
        <v>450</v>
      </c>
      <c r="D157" s="3">
        <v>500</v>
      </c>
      <c r="K157" s="11" t="s">
        <v>156</v>
      </c>
    </row>
    <row r="158" spans="1:15">
      <c r="A158" s="13" t="s">
        <v>157</v>
      </c>
      <c r="B158" s="13">
        <v>20</v>
      </c>
      <c r="C158" s="13">
        <v>21</v>
      </c>
      <c r="D158">
        <v>23</v>
      </c>
    </row>
    <row r="159" spans="1:15">
      <c r="A159" s="13" t="s">
        <v>121</v>
      </c>
      <c r="B159" s="17">
        <v>3</v>
      </c>
      <c r="C159" s="13">
        <v>3</v>
      </c>
      <c r="D159" s="13">
        <v>3</v>
      </c>
    </row>
    <row r="160" spans="1:15">
      <c r="A160" s="13" t="s">
        <v>122</v>
      </c>
      <c r="B160" s="17">
        <v>1</v>
      </c>
      <c r="C160" s="13">
        <v>1.25</v>
      </c>
      <c r="D160" s="13">
        <v>1.5</v>
      </c>
      <c r="K160" s="3" t="s">
        <v>0</v>
      </c>
      <c r="L160" s="12">
        <v>600</v>
      </c>
      <c r="M160" s="12">
        <v>650</v>
      </c>
      <c r="N160" s="3">
        <v>700</v>
      </c>
      <c r="O160" s="3">
        <v>750</v>
      </c>
    </row>
    <row r="161" spans="1:15">
      <c r="A161" s="13" t="s">
        <v>125</v>
      </c>
      <c r="B161" s="17">
        <v>0.2</v>
      </c>
      <c r="C161" s="13">
        <v>0.2</v>
      </c>
      <c r="D161" s="13">
        <v>0.2</v>
      </c>
      <c r="K161" s="13" t="s">
        <v>157</v>
      </c>
      <c r="L161" s="13">
        <v>25</v>
      </c>
      <c r="M161" s="13">
        <v>25</v>
      </c>
      <c r="N161" s="13">
        <v>30</v>
      </c>
      <c r="O161" s="13">
        <v>30</v>
      </c>
    </row>
    <row r="162" spans="1:15">
      <c r="A162" s="13" t="s">
        <v>148</v>
      </c>
      <c r="B162" s="17">
        <v>0</v>
      </c>
      <c r="C162" s="13">
        <v>0</v>
      </c>
      <c r="D162" s="13">
        <v>0</v>
      </c>
      <c r="K162" s="13" t="s">
        <v>165</v>
      </c>
      <c r="L162" s="13">
        <v>0</v>
      </c>
      <c r="M162" s="13">
        <v>0</v>
      </c>
      <c r="N162" s="13">
        <v>0</v>
      </c>
      <c r="O162" s="13">
        <v>0</v>
      </c>
    </row>
    <row r="163" spans="1:15">
      <c r="A163" s="13" t="s">
        <v>149</v>
      </c>
      <c r="B163" s="17">
        <v>0.5</v>
      </c>
      <c r="C163" s="13">
        <v>0.5</v>
      </c>
      <c r="D163" s="13">
        <v>0.5</v>
      </c>
      <c r="K163" s="13" t="s">
        <v>121</v>
      </c>
      <c r="L163" s="13">
        <v>3</v>
      </c>
      <c r="M163" s="13">
        <v>3</v>
      </c>
      <c r="N163" s="13">
        <v>3</v>
      </c>
      <c r="O163" s="13">
        <v>3</v>
      </c>
    </row>
    <row r="164" spans="1:15">
      <c r="A164" s="13" t="s">
        <v>133</v>
      </c>
      <c r="B164" s="17">
        <v>0.1</v>
      </c>
      <c r="C164" s="13">
        <v>0.1</v>
      </c>
      <c r="D164" s="13">
        <v>0.1</v>
      </c>
      <c r="K164" s="13" t="s">
        <v>122</v>
      </c>
      <c r="L164" s="13">
        <v>1.5</v>
      </c>
      <c r="M164" s="13">
        <v>1.5</v>
      </c>
      <c r="N164" s="13">
        <v>1.5</v>
      </c>
      <c r="O164" s="13">
        <v>1.5</v>
      </c>
    </row>
    <row r="165" spans="1:15">
      <c r="A165" s="13" t="s">
        <v>150</v>
      </c>
      <c r="B165" s="17">
        <v>0.05</v>
      </c>
      <c r="C165" s="13">
        <v>0.05</v>
      </c>
      <c r="D165" s="13">
        <v>0.05</v>
      </c>
      <c r="K165" s="13" t="s">
        <v>126</v>
      </c>
      <c r="L165" s="13">
        <v>0.7</v>
      </c>
      <c r="M165" s="13">
        <v>1</v>
      </c>
      <c r="N165" s="13">
        <v>1</v>
      </c>
      <c r="O165" s="13">
        <v>1</v>
      </c>
    </row>
    <row r="166" spans="1:15">
      <c r="A166" s="13" t="s">
        <v>151</v>
      </c>
      <c r="B166" s="17">
        <v>0.05</v>
      </c>
      <c r="C166" s="13">
        <v>0.05</v>
      </c>
      <c r="D166" s="13">
        <v>0.05</v>
      </c>
      <c r="K166" s="13" t="s">
        <v>148</v>
      </c>
      <c r="L166" s="13">
        <v>0</v>
      </c>
      <c r="M166" s="13">
        <v>0</v>
      </c>
      <c r="N166" s="13">
        <v>0</v>
      </c>
      <c r="O166" s="13">
        <v>0.3</v>
      </c>
    </row>
    <row r="167" spans="1:15">
      <c r="A167" s="18" t="s">
        <v>152</v>
      </c>
      <c r="B167" s="19">
        <v>0.03</v>
      </c>
      <c r="C167" s="20">
        <v>0.03</v>
      </c>
      <c r="D167" s="20">
        <v>0.03</v>
      </c>
      <c r="K167" s="13" t="s">
        <v>149</v>
      </c>
      <c r="L167" s="13">
        <v>1.3</v>
      </c>
      <c r="M167" s="13">
        <v>1.3</v>
      </c>
      <c r="N167" s="13">
        <v>1.3</v>
      </c>
      <c r="O167" s="13">
        <v>1.3</v>
      </c>
    </row>
    <row r="168" spans="1:15">
      <c r="K168" s="13" t="s">
        <v>133</v>
      </c>
      <c r="L168" s="13">
        <v>0</v>
      </c>
      <c r="M168" s="13">
        <v>0</v>
      </c>
      <c r="N168" s="13">
        <v>0</v>
      </c>
      <c r="O168" s="13">
        <v>0</v>
      </c>
    </row>
    <row r="169" spans="1:15">
      <c r="K169" s="13" t="s">
        <v>150</v>
      </c>
      <c r="L169" s="13">
        <v>0.05</v>
      </c>
      <c r="M169" s="13">
        <v>0.05</v>
      </c>
      <c r="N169" s="13">
        <v>0.05</v>
      </c>
      <c r="O169" s="13">
        <v>0.05</v>
      </c>
    </row>
    <row r="170" spans="1:15">
      <c r="A170" s="11" t="s">
        <v>158</v>
      </c>
      <c r="K170" s="13" t="s">
        <v>151</v>
      </c>
      <c r="L170" s="13">
        <v>0.05</v>
      </c>
      <c r="M170" s="13">
        <v>0.05</v>
      </c>
      <c r="N170" s="13">
        <v>0.05</v>
      </c>
      <c r="O170" s="13">
        <v>0.05</v>
      </c>
    </row>
    <row r="171" spans="1:15">
      <c r="K171" s="13" t="s">
        <v>152</v>
      </c>
      <c r="L171" s="13">
        <v>0.1</v>
      </c>
      <c r="M171" s="13">
        <v>0.1</v>
      </c>
      <c r="N171" s="13">
        <v>0.1</v>
      </c>
      <c r="O171" s="13">
        <v>0.1</v>
      </c>
    </row>
    <row r="172" spans="1:15">
      <c r="A172" s="3" t="s">
        <v>0</v>
      </c>
      <c r="B172" s="12">
        <v>400</v>
      </c>
      <c r="C172" s="12">
        <v>450</v>
      </c>
      <c r="D172" s="3">
        <v>500</v>
      </c>
      <c r="K172" s="13"/>
      <c r="L172" s="13"/>
      <c r="M172" s="13"/>
      <c r="N172" s="13"/>
      <c r="O172" s="13"/>
    </row>
    <row r="173" spans="1:15">
      <c r="A173" s="13" t="s">
        <v>159</v>
      </c>
      <c r="B173" s="21">
        <v>16</v>
      </c>
      <c r="C173" s="21">
        <v>18</v>
      </c>
      <c r="D173">
        <v>21</v>
      </c>
    </row>
    <row r="174" spans="1:15">
      <c r="A174" s="13" t="s">
        <v>121</v>
      </c>
      <c r="B174" s="17">
        <v>2</v>
      </c>
      <c r="C174" s="13">
        <v>2</v>
      </c>
      <c r="D174" s="13">
        <v>2</v>
      </c>
    </row>
    <row r="175" spans="1:15">
      <c r="A175" s="13" t="s">
        <v>122</v>
      </c>
      <c r="B175" s="17">
        <v>0.3</v>
      </c>
      <c r="C175" s="13">
        <v>0.3</v>
      </c>
      <c r="D175" s="13">
        <v>0.3</v>
      </c>
    </row>
    <row r="176" spans="1:15">
      <c r="A176" s="13" t="s">
        <v>125</v>
      </c>
      <c r="B176" s="17">
        <v>0</v>
      </c>
      <c r="C176" s="13">
        <v>0</v>
      </c>
      <c r="D176" s="13">
        <v>0</v>
      </c>
      <c r="K176" s="11" t="s">
        <v>158</v>
      </c>
    </row>
    <row r="177" spans="1:15">
      <c r="A177" s="13" t="s">
        <v>148</v>
      </c>
      <c r="B177" s="17">
        <v>0</v>
      </c>
      <c r="C177" s="13">
        <v>0</v>
      </c>
      <c r="D177" s="13">
        <v>0</v>
      </c>
    </row>
    <row r="178" spans="1:15">
      <c r="A178" s="13" t="s">
        <v>149</v>
      </c>
      <c r="B178" s="17">
        <v>0.1</v>
      </c>
      <c r="C178" s="13">
        <v>0.2</v>
      </c>
      <c r="D178" s="13">
        <v>0.2</v>
      </c>
    </row>
    <row r="179" spans="1:15">
      <c r="A179" s="13" t="s">
        <v>133</v>
      </c>
      <c r="B179" s="17">
        <v>0</v>
      </c>
      <c r="C179" s="13">
        <v>0</v>
      </c>
      <c r="D179" s="13">
        <v>0</v>
      </c>
      <c r="K179" s="3" t="s">
        <v>0</v>
      </c>
      <c r="L179" s="12">
        <v>600</v>
      </c>
      <c r="M179" s="12">
        <v>650</v>
      </c>
      <c r="N179" s="3">
        <v>700</v>
      </c>
      <c r="O179" s="3">
        <v>750</v>
      </c>
    </row>
    <row r="180" spans="1:15">
      <c r="A180" s="13" t="s">
        <v>150</v>
      </c>
      <c r="B180" s="17">
        <v>0.05</v>
      </c>
      <c r="C180" s="13">
        <v>0.05</v>
      </c>
      <c r="D180" s="13">
        <v>0.05</v>
      </c>
      <c r="K180" s="13" t="s">
        <v>159</v>
      </c>
      <c r="L180" s="13">
        <v>23</v>
      </c>
      <c r="M180" s="13">
        <v>24</v>
      </c>
      <c r="N180" s="13">
        <v>26</v>
      </c>
      <c r="O180" s="13">
        <v>28</v>
      </c>
    </row>
    <row r="181" spans="1:15">
      <c r="A181" s="13" t="s">
        <v>151</v>
      </c>
      <c r="B181" s="17">
        <v>0.05</v>
      </c>
      <c r="C181" s="13">
        <v>0.05</v>
      </c>
      <c r="D181" s="13">
        <v>0.05</v>
      </c>
      <c r="K181" s="13" t="s">
        <v>165</v>
      </c>
      <c r="L181" s="13">
        <v>0</v>
      </c>
      <c r="M181" s="13">
        <v>0</v>
      </c>
      <c r="N181" s="13">
        <v>0</v>
      </c>
      <c r="O181" s="13">
        <v>0</v>
      </c>
    </row>
    <row r="182" spans="1:15">
      <c r="A182" s="18" t="s">
        <v>152</v>
      </c>
      <c r="B182" s="19">
        <v>0</v>
      </c>
      <c r="C182" s="20">
        <v>0</v>
      </c>
      <c r="D182" s="20">
        <v>0</v>
      </c>
      <c r="K182" s="13" t="s">
        <v>121</v>
      </c>
      <c r="L182" s="13">
        <v>1.5</v>
      </c>
      <c r="M182" s="13">
        <v>2</v>
      </c>
      <c r="N182" s="13">
        <v>2</v>
      </c>
      <c r="O182" s="13">
        <v>2</v>
      </c>
    </row>
    <row r="183" spans="1:15">
      <c r="K183" s="13" t="s">
        <v>122</v>
      </c>
      <c r="L183" s="13">
        <v>0.5</v>
      </c>
      <c r="M183" s="13">
        <v>0.5</v>
      </c>
      <c r="N183" s="13">
        <v>0.5</v>
      </c>
      <c r="O183" s="13">
        <v>0.5</v>
      </c>
    </row>
    <row r="184" spans="1:15">
      <c r="K184" s="13" t="s">
        <v>126</v>
      </c>
      <c r="L184" s="13">
        <v>0.4</v>
      </c>
      <c r="M184" s="13">
        <v>0.5</v>
      </c>
      <c r="N184" s="13">
        <v>0.5</v>
      </c>
      <c r="O184" s="13">
        <v>0.5</v>
      </c>
    </row>
    <row r="185" spans="1:15">
      <c r="K185" s="13" t="s">
        <v>148</v>
      </c>
      <c r="L185" s="13">
        <v>0</v>
      </c>
      <c r="M185" s="13">
        <v>0</v>
      </c>
      <c r="N185" s="13">
        <v>0</v>
      </c>
      <c r="O185" s="13">
        <v>0</v>
      </c>
    </row>
    <row r="186" spans="1:15">
      <c r="A186" s="11" t="s">
        <v>156</v>
      </c>
      <c r="K186" s="13" t="s">
        <v>149</v>
      </c>
      <c r="L186" s="13">
        <v>0.8</v>
      </c>
      <c r="M186" s="13">
        <v>1</v>
      </c>
      <c r="N186" s="13">
        <v>1</v>
      </c>
      <c r="O186" s="13">
        <v>1</v>
      </c>
    </row>
    <row r="187" spans="1:15">
      <c r="K187" s="13" t="s">
        <v>133</v>
      </c>
      <c r="L187" s="13">
        <v>0</v>
      </c>
      <c r="M187" s="13">
        <v>0</v>
      </c>
      <c r="N187" s="13">
        <v>0</v>
      </c>
      <c r="O187" s="13">
        <v>0</v>
      </c>
    </row>
    <row r="188" spans="1:15">
      <c r="A188" s="3" t="s">
        <v>0</v>
      </c>
      <c r="B188" s="12">
        <v>400</v>
      </c>
      <c r="C188" s="12">
        <v>450</v>
      </c>
      <c r="D188" s="3">
        <v>500</v>
      </c>
      <c r="K188" s="13" t="s">
        <v>150</v>
      </c>
      <c r="L188" s="13">
        <v>0.05</v>
      </c>
      <c r="M188" s="13">
        <v>0.05</v>
      </c>
      <c r="N188" s="13">
        <v>0.05</v>
      </c>
      <c r="O188" s="13">
        <v>0.05</v>
      </c>
    </row>
    <row r="189" spans="1:15">
      <c r="A189" s="13" t="s">
        <v>157</v>
      </c>
      <c r="B189" s="13">
        <v>10</v>
      </c>
      <c r="C189" s="13">
        <v>10</v>
      </c>
      <c r="D189">
        <v>10</v>
      </c>
      <c r="K189" s="13" t="s">
        <v>151</v>
      </c>
      <c r="L189" s="13">
        <v>0.05</v>
      </c>
      <c r="M189" s="13">
        <v>0.05</v>
      </c>
      <c r="N189" s="13">
        <v>0.05</v>
      </c>
      <c r="O189" s="13">
        <v>0.05</v>
      </c>
    </row>
    <row r="190" spans="1:15">
      <c r="A190" s="13" t="s">
        <v>166</v>
      </c>
      <c r="B190" s="17">
        <v>10</v>
      </c>
      <c r="C190" s="13">
        <v>11</v>
      </c>
      <c r="D190">
        <v>13</v>
      </c>
      <c r="K190" s="13"/>
      <c r="L190" s="13"/>
      <c r="M190" s="13"/>
      <c r="N190" s="13"/>
      <c r="O190" s="13"/>
    </row>
    <row r="191" spans="1:15">
      <c r="A191" s="13" t="s">
        <v>121</v>
      </c>
      <c r="B191" s="17">
        <v>2</v>
      </c>
      <c r="C191" s="13">
        <v>2</v>
      </c>
      <c r="D191" s="13">
        <v>2</v>
      </c>
    </row>
    <row r="192" spans="1:15">
      <c r="A192" s="13" t="s">
        <v>122</v>
      </c>
      <c r="B192" s="17">
        <v>0.9</v>
      </c>
      <c r="C192" s="13">
        <v>1</v>
      </c>
      <c r="D192" s="13">
        <v>1.3</v>
      </c>
    </row>
    <row r="193" spans="1:15">
      <c r="A193" s="13" t="s">
        <v>125</v>
      </c>
      <c r="B193" s="17">
        <v>0.2</v>
      </c>
      <c r="C193" s="13">
        <v>0.2</v>
      </c>
      <c r="D193" s="13">
        <v>0.2</v>
      </c>
      <c r="K193" s="11" t="s">
        <v>167</v>
      </c>
    </row>
    <row r="194" spans="1:15">
      <c r="A194" s="13" t="s">
        <v>148</v>
      </c>
      <c r="B194" s="17">
        <v>0</v>
      </c>
      <c r="C194" s="13">
        <v>0</v>
      </c>
      <c r="D194" s="13">
        <v>0</v>
      </c>
    </row>
    <row r="195" spans="1:15">
      <c r="A195" s="13" t="s">
        <v>149</v>
      </c>
      <c r="B195" s="17">
        <v>0.3</v>
      </c>
      <c r="C195" s="13">
        <v>0.4</v>
      </c>
      <c r="D195" s="13">
        <v>0.5</v>
      </c>
      <c r="K195" s="3" t="s">
        <v>0</v>
      </c>
      <c r="L195" s="12">
        <v>600</v>
      </c>
      <c r="M195" s="12">
        <v>650</v>
      </c>
      <c r="N195" s="3">
        <v>700</v>
      </c>
      <c r="O195" s="3">
        <v>750</v>
      </c>
    </row>
    <row r="196" spans="1:15">
      <c r="A196" s="13" t="s">
        <v>133</v>
      </c>
      <c r="B196" s="17">
        <v>0.1</v>
      </c>
      <c r="C196" s="13">
        <v>0.1</v>
      </c>
      <c r="D196" s="13">
        <v>0.1</v>
      </c>
      <c r="K196" s="13" t="s">
        <v>157</v>
      </c>
      <c r="L196" s="13">
        <v>12</v>
      </c>
      <c r="M196" s="13">
        <v>25</v>
      </c>
      <c r="N196" s="13">
        <v>12</v>
      </c>
      <c r="O196" s="13">
        <v>30</v>
      </c>
    </row>
    <row r="197" spans="1:15">
      <c r="A197" s="13" t="s">
        <v>150</v>
      </c>
      <c r="B197" s="17">
        <v>0.05</v>
      </c>
      <c r="C197" s="13">
        <v>0.05</v>
      </c>
      <c r="D197" s="13">
        <v>0.05</v>
      </c>
      <c r="K197" s="13" t="s">
        <v>165</v>
      </c>
      <c r="L197" s="13"/>
      <c r="M197" s="13"/>
      <c r="N197" s="13">
        <v>17</v>
      </c>
      <c r="O197" s="13"/>
    </row>
    <row r="198" spans="1:15">
      <c r="A198" s="13" t="s">
        <v>151</v>
      </c>
      <c r="B198" s="17">
        <v>0.05</v>
      </c>
      <c r="C198" s="13">
        <v>0.05</v>
      </c>
      <c r="D198" s="13">
        <v>0.05</v>
      </c>
      <c r="K198" s="13" t="s">
        <v>121</v>
      </c>
      <c r="L198" s="13">
        <v>1.5</v>
      </c>
      <c r="M198" s="13">
        <v>1.5</v>
      </c>
      <c r="N198" s="13">
        <v>2</v>
      </c>
      <c r="O198" s="13">
        <v>2</v>
      </c>
    </row>
    <row r="199" spans="1:15">
      <c r="A199" s="18" t="s">
        <v>152</v>
      </c>
      <c r="B199" s="19">
        <v>0.03</v>
      </c>
      <c r="C199" s="20">
        <v>0.03</v>
      </c>
      <c r="D199" s="20">
        <v>0.7</v>
      </c>
      <c r="K199" s="13" t="s">
        <v>122</v>
      </c>
      <c r="L199" s="13">
        <v>0.5</v>
      </c>
      <c r="M199" s="13">
        <v>0.5</v>
      </c>
      <c r="N199" s="13">
        <v>1</v>
      </c>
      <c r="O199" s="13">
        <v>0.75</v>
      </c>
    </row>
    <row r="200" spans="1:15">
      <c r="K200" s="13" t="s">
        <v>126</v>
      </c>
      <c r="L200" s="13">
        <v>1.25</v>
      </c>
      <c r="M200" s="13">
        <v>1.25</v>
      </c>
      <c r="N200" s="13">
        <v>1</v>
      </c>
      <c r="O200" s="13">
        <v>1.25</v>
      </c>
    </row>
    <row r="201" spans="1:15">
      <c r="K201" s="13" t="s">
        <v>148</v>
      </c>
      <c r="L201" s="13">
        <v>0.5</v>
      </c>
      <c r="M201" s="13">
        <v>0.5</v>
      </c>
      <c r="N201" s="13">
        <v>0.3</v>
      </c>
      <c r="O201" s="13">
        <v>0.5</v>
      </c>
    </row>
    <row r="202" spans="1:15">
      <c r="K202" s="13" t="s">
        <v>149</v>
      </c>
      <c r="L202" s="13">
        <v>0.7</v>
      </c>
      <c r="M202" s="13">
        <v>0.7</v>
      </c>
      <c r="N202" s="13">
        <v>1</v>
      </c>
      <c r="O202" s="13">
        <v>0.7</v>
      </c>
    </row>
    <row r="203" spans="1:15">
      <c r="K203" s="13" t="s">
        <v>133</v>
      </c>
      <c r="L203" s="13">
        <v>0</v>
      </c>
      <c r="M203" s="13">
        <v>0</v>
      </c>
      <c r="N203" s="13">
        <v>0</v>
      </c>
      <c r="O203" s="13">
        <v>0</v>
      </c>
    </row>
    <row r="204" spans="1:15">
      <c r="K204" s="13" t="s">
        <v>150</v>
      </c>
      <c r="L204" s="13">
        <v>0.05</v>
      </c>
      <c r="M204" s="13">
        <v>0.05</v>
      </c>
      <c r="N204" s="13">
        <v>0.05</v>
      </c>
      <c r="O204" s="13">
        <v>0.05</v>
      </c>
    </row>
    <row r="205" spans="1:15">
      <c r="K205" s="13" t="s">
        <v>151</v>
      </c>
      <c r="L205" s="13">
        <v>0.05</v>
      </c>
      <c r="M205" s="13">
        <v>0.05</v>
      </c>
      <c r="N205" s="13">
        <v>0.05</v>
      </c>
      <c r="O205" s="13">
        <v>0.05</v>
      </c>
    </row>
    <row r="206" spans="1:15">
      <c r="K206" s="13" t="s">
        <v>150</v>
      </c>
      <c r="L206" s="13">
        <v>0.05</v>
      </c>
      <c r="M206" s="13">
        <v>0.05</v>
      </c>
      <c r="N206" s="13">
        <v>0.05</v>
      </c>
      <c r="O206" s="13">
        <v>0.05</v>
      </c>
    </row>
    <row r="210" spans="1:15">
      <c r="A210" s="14" t="s">
        <v>168</v>
      </c>
      <c r="K210" s="14" t="s">
        <v>168</v>
      </c>
    </row>
    <row r="211" spans="1:15">
      <c r="A211" s="2" t="s">
        <v>138</v>
      </c>
      <c r="K211" s="2" t="s">
        <v>169</v>
      </c>
    </row>
    <row r="212" spans="1:15">
      <c r="A212" s="11" t="s">
        <v>163</v>
      </c>
      <c r="K212" s="11" t="s">
        <v>163</v>
      </c>
    </row>
    <row r="214" spans="1:15">
      <c r="A214" s="3" t="s">
        <v>0</v>
      </c>
      <c r="B214" s="12">
        <v>400</v>
      </c>
      <c r="C214" s="12">
        <v>450</v>
      </c>
      <c r="D214" s="3">
        <v>500</v>
      </c>
      <c r="K214" s="3" t="s">
        <v>0</v>
      </c>
      <c r="L214" s="12">
        <v>600</v>
      </c>
      <c r="M214" s="12">
        <v>650</v>
      </c>
      <c r="N214" s="3">
        <v>700</v>
      </c>
      <c r="O214" s="3">
        <v>750</v>
      </c>
    </row>
    <row r="215" spans="1:15">
      <c r="A215" s="13" t="s">
        <v>164</v>
      </c>
      <c r="B215" s="13">
        <v>16</v>
      </c>
      <c r="C215" s="13">
        <v>20</v>
      </c>
      <c r="D215">
        <v>22</v>
      </c>
      <c r="K215" s="13" t="s">
        <v>164</v>
      </c>
      <c r="L215" s="13">
        <v>21</v>
      </c>
      <c r="M215" s="13">
        <v>24</v>
      </c>
      <c r="N215">
        <v>26</v>
      </c>
      <c r="O215">
        <v>26</v>
      </c>
    </row>
    <row r="216" spans="1:15">
      <c r="A216" s="13" t="s">
        <v>121</v>
      </c>
      <c r="B216" s="13">
        <v>1.5</v>
      </c>
      <c r="C216" s="13">
        <v>1.5</v>
      </c>
      <c r="D216" s="13">
        <v>1.5</v>
      </c>
      <c r="K216" s="13" t="s">
        <v>121</v>
      </c>
      <c r="L216" s="13">
        <v>1.5</v>
      </c>
      <c r="M216" s="13">
        <v>1.5</v>
      </c>
      <c r="N216" s="13">
        <v>1.5</v>
      </c>
      <c r="O216" s="13">
        <v>1.5</v>
      </c>
    </row>
    <row r="217" spans="1:15">
      <c r="A217" s="13" t="s">
        <v>122</v>
      </c>
      <c r="B217" s="13">
        <v>0.3</v>
      </c>
      <c r="C217" s="13">
        <v>0.4</v>
      </c>
      <c r="D217" s="13">
        <v>0.4</v>
      </c>
      <c r="K217" s="13" t="s">
        <v>122</v>
      </c>
      <c r="L217" s="13">
        <v>1</v>
      </c>
      <c r="M217" s="13">
        <v>1.25</v>
      </c>
      <c r="N217" s="13">
        <v>1.5</v>
      </c>
      <c r="O217" s="13">
        <v>2</v>
      </c>
    </row>
    <row r="218" spans="1:15">
      <c r="A218" s="13" t="s">
        <v>125</v>
      </c>
      <c r="B218" s="13">
        <v>0.2</v>
      </c>
      <c r="C218" s="13">
        <v>0.3</v>
      </c>
      <c r="D218" s="13">
        <v>0.3</v>
      </c>
      <c r="K218" s="13" t="s">
        <v>125</v>
      </c>
      <c r="L218" s="13">
        <v>0</v>
      </c>
      <c r="M218" s="13">
        <v>0</v>
      </c>
      <c r="N218" s="13">
        <v>0</v>
      </c>
      <c r="O218" s="13">
        <v>0</v>
      </c>
    </row>
    <row r="219" spans="1:15">
      <c r="A219" s="13" t="s">
        <v>126</v>
      </c>
      <c r="B219" s="13">
        <v>0.25</v>
      </c>
      <c r="C219" s="13">
        <v>0.25</v>
      </c>
      <c r="D219" s="13">
        <v>0.25</v>
      </c>
      <c r="K219" s="13" t="s">
        <v>126</v>
      </c>
      <c r="L219" s="13">
        <v>0.9</v>
      </c>
      <c r="M219" s="13">
        <v>0.9</v>
      </c>
      <c r="N219" s="13">
        <v>1</v>
      </c>
      <c r="O219" s="13">
        <v>1</v>
      </c>
    </row>
    <row r="220" spans="1:15">
      <c r="A220" s="13" t="s">
        <v>148</v>
      </c>
      <c r="B220" s="13">
        <v>0.2</v>
      </c>
      <c r="C220" s="13">
        <v>0.25</v>
      </c>
      <c r="D220" s="13">
        <v>0.25</v>
      </c>
      <c r="K220" s="13" t="s">
        <v>148</v>
      </c>
      <c r="L220" s="13">
        <v>0.3</v>
      </c>
      <c r="M220" s="13">
        <v>0.3</v>
      </c>
      <c r="N220" s="13">
        <v>0.3</v>
      </c>
      <c r="O220" s="13">
        <v>0.3</v>
      </c>
    </row>
    <row r="221" spans="1:15">
      <c r="A221" s="13" t="s">
        <v>149</v>
      </c>
      <c r="B221" s="13">
        <v>0.4</v>
      </c>
      <c r="C221" s="13">
        <v>0.5</v>
      </c>
      <c r="D221" s="13">
        <v>0.5</v>
      </c>
      <c r="K221" s="13" t="s">
        <v>149</v>
      </c>
      <c r="L221" s="13">
        <v>0.5</v>
      </c>
      <c r="M221" s="13">
        <v>0.75</v>
      </c>
      <c r="N221" s="13">
        <v>1</v>
      </c>
      <c r="O221" s="13">
        <v>1</v>
      </c>
    </row>
    <row r="222" spans="1:15">
      <c r="A222" s="13" t="s">
        <v>133</v>
      </c>
      <c r="B222" s="13">
        <v>0</v>
      </c>
      <c r="C222" s="13">
        <v>0</v>
      </c>
      <c r="D222" s="13">
        <v>0</v>
      </c>
      <c r="K222" s="13" t="s">
        <v>133</v>
      </c>
      <c r="L222" s="13">
        <v>0</v>
      </c>
      <c r="M222" s="13">
        <v>0</v>
      </c>
      <c r="N222" s="13">
        <v>0</v>
      </c>
      <c r="O222" s="13">
        <v>0</v>
      </c>
    </row>
    <row r="223" spans="1:15">
      <c r="A223" s="13" t="s">
        <v>150</v>
      </c>
      <c r="B223" s="13">
        <v>0.05</v>
      </c>
      <c r="C223" s="13">
        <v>0.05</v>
      </c>
      <c r="D223" s="13">
        <v>0.05</v>
      </c>
      <c r="K223" s="13" t="s">
        <v>150</v>
      </c>
      <c r="L223" s="13">
        <v>0.05</v>
      </c>
      <c r="M223" s="13">
        <v>0.05</v>
      </c>
      <c r="N223" s="13">
        <v>0.05</v>
      </c>
      <c r="O223" s="13">
        <v>0.05</v>
      </c>
    </row>
    <row r="224" spans="1:15">
      <c r="A224" s="13" t="s">
        <v>151</v>
      </c>
      <c r="B224" s="13">
        <v>0.05</v>
      </c>
      <c r="C224" s="13">
        <v>0.05</v>
      </c>
      <c r="D224" s="13">
        <v>0.05</v>
      </c>
      <c r="K224" s="13" t="s">
        <v>151</v>
      </c>
      <c r="L224" s="13">
        <v>0.05</v>
      </c>
      <c r="M224" s="13">
        <v>0.05</v>
      </c>
      <c r="N224" s="13">
        <v>0.05</v>
      </c>
      <c r="O224" s="13">
        <v>0.05</v>
      </c>
    </row>
    <row r="225" spans="1:15">
      <c r="A225" s="4" t="s">
        <v>170</v>
      </c>
      <c r="B225" s="4">
        <v>0.1</v>
      </c>
      <c r="C225" s="4">
        <v>0.1</v>
      </c>
      <c r="D225" s="4">
        <v>0.1</v>
      </c>
      <c r="K225" s="4" t="s">
        <v>170</v>
      </c>
      <c r="L225" s="4">
        <v>0.1</v>
      </c>
      <c r="M225" s="4">
        <v>0.1</v>
      </c>
      <c r="N225" s="4">
        <v>0.1</v>
      </c>
      <c r="O225" s="4">
        <v>0.1</v>
      </c>
    </row>
    <row r="226" spans="1:15">
      <c r="A226" s="4" t="s">
        <v>171</v>
      </c>
      <c r="B226" s="4">
        <v>0.06</v>
      </c>
      <c r="C226" s="4">
        <v>0.06</v>
      </c>
      <c r="D226" s="4">
        <v>0.06</v>
      </c>
      <c r="K226" s="4" t="s">
        <v>171</v>
      </c>
      <c r="L226" s="4">
        <v>0.06</v>
      </c>
      <c r="M226" s="4">
        <v>0.06</v>
      </c>
      <c r="N226" s="4">
        <v>0.06</v>
      </c>
      <c r="O226" s="4">
        <v>0.06</v>
      </c>
    </row>
    <row r="229" spans="1:15">
      <c r="A229" s="11" t="s">
        <v>145</v>
      </c>
    </row>
    <row r="231" spans="1:15">
      <c r="A231" s="3" t="s">
        <v>0</v>
      </c>
      <c r="B231" s="12">
        <v>400</v>
      </c>
      <c r="C231" s="12">
        <v>450</v>
      </c>
      <c r="D231" s="3">
        <v>500</v>
      </c>
    </row>
    <row r="232" spans="1:15">
      <c r="A232" s="13" t="s">
        <v>147</v>
      </c>
      <c r="B232" s="13">
        <v>18</v>
      </c>
      <c r="C232" s="13">
        <v>21</v>
      </c>
      <c r="D232">
        <v>23</v>
      </c>
      <c r="K232" s="11" t="s">
        <v>145</v>
      </c>
    </row>
    <row r="233" spans="1:15">
      <c r="A233" s="13" t="s">
        <v>121</v>
      </c>
      <c r="B233" s="13">
        <v>1.5</v>
      </c>
      <c r="C233" s="13">
        <v>1.5</v>
      </c>
      <c r="D233" s="13">
        <v>1.5</v>
      </c>
    </row>
    <row r="234" spans="1:15">
      <c r="A234" s="13" t="s">
        <v>122</v>
      </c>
      <c r="B234" s="13">
        <v>0.3</v>
      </c>
      <c r="C234" s="13">
        <v>0.5</v>
      </c>
      <c r="D234" s="13">
        <v>0.5</v>
      </c>
      <c r="K234" s="3" t="s">
        <v>0</v>
      </c>
      <c r="L234" s="12">
        <v>600</v>
      </c>
      <c r="M234" s="12">
        <v>650</v>
      </c>
      <c r="N234" s="3">
        <v>700</v>
      </c>
      <c r="O234" s="3">
        <v>750</v>
      </c>
    </row>
    <row r="235" spans="1:15">
      <c r="A235" s="13" t="s">
        <v>125</v>
      </c>
      <c r="B235" s="13">
        <v>0.2</v>
      </c>
      <c r="C235" s="13">
        <v>0.3</v>
      </c>
      <c r="D235" s="13">
        <v>0.3</v>
      </c>
      <c r="K235" s="13" t="s">
        <v>147</v>
      </c>
      <c r="L235" s="13">
        <v>22</v>
      </c>
      <c r="M235" s="13">
        <v>24</v>
      </c>
      <c r="N235">
        <v>26</v>
      </c>
      <c r="O235">
        <v>26</v>
      </c>
    </row>
    <row r="236" spans="1:15">
      <c r="A236" s="13" t="s">
        <v>126</v>
      </c>
      <c r="B236" s="13">
        <v>0.25</v>
      </c>
      <c r="C236" s="13">
        <v>0.25</v>
      </c>
      <c r="D236" s="13">
        <v>0.25</v>
      </c>
      <c r="K236" s="13" t="s">
        <v>121</v>
      </c>
      <c r="L236" s="13">
        <v>1.5</v>
      </c>
      <c r="M236" s="13">
        <v>1.5</v>
      </c>
      <c r="N236" s="13">
        <v>1.5</v>
      </c>
      <c r="O236" s="13">
        <v>1.5</v>
      </c>
    </row>
    <row r="237" spans="1:15">
      <c r="A237" s="13" t="s">
        <v>148</v>
      </c>
      <c r="B237" s="13">
        <v>0.2</v>
      </c>
      <c r="C237" s="13">
        <v>0.25</v>
      </c>
      <c r="D237" s="13">
        <v>0.25</v>
      </c>
      <c r="K237" s="13" t="s">
        <v>122</v>
      </c>
      <c r="L237" s="13">
        <v>1.2</v>
      </c>
      <c r="M237" s="13">
        <v>1.25</v>
      </c>
      <c r="N237" s="13">
        <v>1.5</v>
      </c>
      <c r="O237" s="13">
        <v>2</v>
      </c>
    </row>
    <row r="238" spans="1:15">
      <c r="A238" s="13" t="s">
        <v>149</v>
      </c>
      <c r="B238" s="13">
        <v>0.5</v>
      </c>
      <c r="C238" s="13">
        <v>0.5</v>
      </c>
      <c r="D238" s="13">
        <v>0.5</v>
      </c>
      <c r="K238" s="13" t="s">
        <v>125</v>
      </c>
      <c r="L238" s="13">
        <v>0</v>
      </c>
      <c r="M238" s="13">
        <v>0</v>
      </c>
      <c r="N238" s="13">
        <v>0</v>
      </c>
      <c r="O238" s="13">
        <v>0</v>
      </c>
    </row>
    <row r="239" spans="1:15">
      <c r="A239" s="13" t="s">
        <v>133</v>
      </c>
      <c r="B239" s="13">
        <v>0</v>
      </c>
      <c r="C239" s="13">
        <v>0</v>
      </c>
      <c r="D239" s="13">
        <v>0</v>
      </c>
      <c r="K239" s="13" t="s">
        <v>126</v>
      </c>
      <c r="L239" s="13">
        <v>1</v>
      </c>
      <c r="M239" s="13">
        <v>1</v>
      </c>
      <c r="N239" s="13">
        <v>1</v>
      </c>
      <c r="O239" s="13">
        <v>1</v>
      </c>
    </row>
    <row r="240" spans="1:15">
      <c r="A240" s="13" t="s">
        <v>150</v>
      </c>
      <c r="B240" s="13">
        <v>0.05</v>
      </c>
      <c r="C240" s="13">
        <v>0.05</v>
      </c>
      <c r="D240" s="13">
        <v>0.05</v>
      </c>
      <c r="K240" s="13" t="s">
        <v>148</v>
      </c>
      <c r="L240" s="13">
        <v>0.3</v>
      </c>
      <c r="M240" s="13">
        <v>0.3</v>
      </c>
      <c r="N240" s="13">
        <v>0.3</v>
      </c>
      <c r="O240" s="13">
        <v>0.3</v>
      </c>
    </row>
    <row r="241" spans="1:15">
      <c r="A241" s="13" t="s">
        <v>151</v>
      </c>
      <c r="B241" s="13">
        <v>0.05</v>
      </c>
      <c r="C241" s="13">
        <v>0.05</v>
      </c>
      <c r="D241" s="13">
        <v>0.05</v>
      </c>
      <c r="K241" s="13" t="s">
        <v>149</v>
      </c>
      <c r="L241" s="13">
        <v>0.5</v>
      </c>
      <c r="M241" s="13">
        <v>0.7</v>
      </c>
      <c r="N241" s="13">
        <v>1</v>
      </c>
      <c r="O241" s="13">
        <v>1</v>
      </c>
    </row>
    <row r="242" spans="1:15">
      <c r="A242" s="4" t="s">
        <v>170</v>
      </c>
      <c r="B242" s="4">
        <v>0.1</v>
      </c>
      <c r="C242" s="4">
        <v>0.1</v>
      </c>
      <c r="D242" s="4">
        <v>0.1</v>
      </c>
      <c r="K242" s="13" t="s">
        <v>133</v>
      </c>
      <c r="L242" s="13">
        <v>0</v>
      </c>
      <c r="M242" s="13">
        <v>0</v>
      </c>
      <c r="N242" s="13">
        <v>0</v>
      </c>
      <c r="O242" s="13">
        <v>0</v>
      </c>
    </row>
    <row r="243" spans="1:15">
      <c r="A243" s="4" t="s">
        <v>171</v>
      </c>
      <c r="B243" s="4">
        <v>0.06</v>
      </c>
      <c r="C243" s="4">
        <v>0.06</v>
      </c>
      <c r="D243" s="4">
        <v>0.06</v>
      </c>
      <c r="K243" s="13" t="s">
        <v>150</v>
      </c>
      <c r="L243" s="13">
        <v>0.05</v>
      </c>
      <c r="M243" s="13">
        <v>0.05</v>
      </c>
      <c r="N243" s="13">
        <v>0.05</v>
      </c>
      <c r="O243" s="13">
        <v>0.05</v>
      </c>
    </row>
    <row r="244" spans="1:15">
      <c r="K244" s="13" t="s">
        <v>151</v>
      </c>
      <c r="L244" s="13">
        <v>0.05</v>
      </c>
      <c r="M244" s="13">
        <v>0.05</v>
      </c>
      <c r="N244" s="13">
        <v>0.05</v>
      </c>
      <c r="O244" s="13">
        <v>0.05</v>
      </c>
    </row>
    <row r="245" spans="1:15">
      <c r="K245" s="4" t="s">
        <v>170</v>
      </c>
      <c r="L245" s="4">
        <v>0.1</v>
      </c>
      <c r="M245" s="4">
        <v>0.1</v>
      </c>
      <c r="N245" s="4">
        <v>0.1</v>
      </c>
      <c r="O245" s="4">
        <v>0.1</v>
      </c>
    </row>
    <row r="246" spans="1:15">
      <c r="A246" s="11" t="s">
        <v>154</v>
      </c>
      <c r="K246" s="4" t="s">
        <v>171</v>
      </c>
      <c r="L246" s="4">
        <v>0.06</v>
      </c>
      <c r="M246" s="4">
        <v>0.06</v>
      </c>
      <c r="N246" s="4">
        <v>0.06</v>
      </c>
      <c r="O246" s="4">
        <v>0.06</v>
      </c>
    </row>
    <row r="248" spans="1:15">
      <c r="A248" s="3" t="s">
        <v>0</v>
      </c>
      <c r="B248" s="12">
        <v>400</v>
      </c>
      <c r="C248" s="12">
        <v>450</v>
      </c>
      <c r="D248" s="3">
        <v>500</v>
      </c>
    </row>
    <row r="249" spans="1:15">
      <c r="A249" s="13" t="s">
        <v>172</v>
      </c>
      <c r="B249" s="13">
        <v>18</v>
      </c>
      <c r="C249" s="13">
        <v>21</v>
      </c>
      <c r="D249">
        <v>23</v>
      </c>
    </row>
    <row r="250" spans="1:15">
      <c r="A250" s="13" t="s">
        <v>121</v>
      </c>
      <c r="B250" s="13">
        <v>1.5</v>
      </c>
      <c r="C250" s="13">
        <v>1.5</v>
      </c>
      <c r="D250" s="13">
        <v>1.5</v>
      </c>
      <c r="K250" s="11" t="s">
        <v>154</v>
      </c>
    </row>
    <row r="251" spans="1:15">
      <c r="A251" s="13" t="s">
        <v>122</v>
      </c>
      <c r="B251" s="13">
        <v>0.3</v>
      </c>
      <c r="C251" s="13">
        <v>0.5</v>
      </c>
      <c r="D251" s="13">
        <v>0.5</v>
      </c>
    </row>
    <row r="252" spans="1:15">
      <c r="A252" s="13" t="s">
        <v>125</v>
      </c>
      <c r="B252" s="13">
        <v>0.2</v>
      </c>
      <c r="C252" s="13">
        <v>0.3</v>
      </c>
      <c r="D252" s="13">
        <v>0.3</v>
      </c>
      <c r="K252" s="3" t="s">
        <v>0</v>
      </c>
      <c r="L252" s="12">
        <v>600</v>
      </c>
      <c r="M252" s="12">
        <v>650</v>
      </c>
      <c r="N252" s="3">
        <v>700</v>
      </c>
      <c r="O252" s="3">
        <v>750</v>
      </c>
    </row>
    <row r="253" spans="1:15">
      <c r="A253" s="13" t="s">
        <v>126</v>
      </c>
      <c r="B253" s="13">
        <v>0.25</v>
      </c>
      <c r="C253" s="13">
        <v>0.25</v>
      </c>
      <c r="D253" s="13">
        <v>0.25</v>
      </c>
      <c r="K253" s="13" t="s">
        <v>155</v>
      </c>
      <c r="L253" s="13">
        <v>22</v>
      </c>
      <c r="M253" s="13">
        <v>24</v>
      </c>
      <c r="N253">
        <v>26</v>
      </c>
      <c r="O253">
        <v>26</v>
      </c>
    </row>
    <row r="254" spans="1:15">
      <c r="A254" s="13" t="s">
        <v>148</v>
      </c>
      <c r="B254" s="13">
        <v>0.2</v>
      </c>
      <c r="C254" s="13">
        <v>0.25</v>
      </c>
      <c r="D254" s="13">
        <v>0.25</v>
      </c>
      <c r="K254" s="13" t="s">
        <v>121</v>
      </c>
      <c r="L254" s="13">
        <v>1.5</v>
      </c>
      <c r="M254" s="13">
        <v>1.5</v>
      </c>
      <c r="N254" s="13">
        <v>1.5</v>
      </c>
      <c r="O254" s="13">
        <v>1.5</v>
      </c>
    </row>
    <row r="255" spans="1:15">
      <c r="A255" s="13" t="s">
        <v>149</v>
      </c>
      <c r="B255" s="13">
        <v>0.5</v>
      </c>
      <c r="C255" s="13">
        <v>0.5</v>
      </c>
      <c r="D255" s="13">
        <v>0.5</v>
      </c>
      <c r="K255" s="13" t="s">
        <v>122</v>
      </c>
      <c r="L255" s="13">
        <v>1.2</v>
      </c>
      <c r="M255" s="13">
        <v>1.25</v>
      </c>
      <c r="N255" s="13">
        <v>1.5</v>
      </c>
      <c r="O255" s="13">
        <v>2</v>
      </c>
    </row>
    <row r="256" spans="1:15">
      <c r="A256" s="13" t="s">
        <v>133</v>
      </c>
      <c r="B256" s="13">
        <v>0</v>
      </c>
      <c r="C256" s="13">
        <v>0</v>
      </c>
      <c r="D256" s="13">
        <v>0</v>
      </c>
      <c r="K256" s="13" t="s">
        <v>125</v>
      </c>
      <c r="L256" s="13">
        <v>0</v>
      </c>
      <c r="M256" s="13">
        <v>0</v>
      </c>
      <c r="N256" s="13">
        <v>0</v>
      </c>
      <c r="O256" s="13">
        <v>0</v>
      </c>
    </row>
    <row r="257" spans="1:15">
      <c r="A257" s="13" t="s">
        <v>150</v>
      </c>
      <c r="B257" s="13">
        <v>0.05</v>
      </c>
      <c r="C257" s="13">
        <v>0.05</v>
      </c>
      <c r="D257" s="13">
        <v>0.05</v>
      </c>
      <c r="K257" s="13" t="s">
        <v>126</v>
      </c>
      <c r="L257" s="13">
        <v>1</v>
      </c>
      <c r="M257" s="13">
        <v>1</v>
      </c>
      <c r="N257" s="13">
        <v>1</v>
      </c>
      <c r="O257" s="13">
        <v>1</v>
      </c>
    </row>
    <row r="258" spans="1:15">
      <c r="A258" s="13" t="s">
        <v>151</v>
      </c>
      <c r="B258" s="13">
        <v>0.05</v>
      </c>
      <c r="C258" s="13">
        <v>0.05</v>
      </c>
      <c r="D258" s="13">
        <v>0.05</v>
      </c>
      <c r="K258" s="13" t="s">
        <v>148</v>
      </c>
      <c r="L258" s="13">
        <v>0.3</v>
      </c>
      <c r="M258" s="13">
        <v>0.3</v>
      </c>
      <c r="N258" s="13">
        <v>0.3</v>
      </c>
      <c r="O258" s="13">
        <v>0.3</v>
      </c>
    </row>
    <row r="259" spans="1:15">
      <c r="A259" s="4" t="s">
        <v>170</v>
      </c>
      <c r="B259" s="4">
        <v>0.1</v>
      </c>
      <c r="C259" s="4">
        <v>0.1</v>
      </c>
      <c r="D259" s="4">
        <v>0.1</v>
      </c>
      <c r="K259" s="13" t="s">
        <v>149</v>
      </c>
      <c r="L259" s="13">
        <v>0.5</v>
      </c>
      <c r="M259" s="13">
        <v>0.7</v>
      </c>
      <c r="N259" s="13">
        <v>1</v>
      </c>
      <c r="O259" s="13">
        <v>1</v>
      </c>
    </row>
    <row r="260" spans="1:15">
      <c r="A260" s="4" t="s">
        <v>171</v>
      </c>
      <c r="B260" s="4">
        <v>0.06</v>
      </c>
      <c r="C260" s="4">
        <v>0.06</v>
      </c>
      <c r="D260" s="4">
        <v>0.06</v>
      </c>
      <c r="K260" s="13" t="s">
        <v>133</v>
      </c>
      <c r="L260" s="13">
        <v>0</v>
      </c>
      <c r="M260" s="13">
        <v>0</v>
      </c>
      <c r="N260" s="13">
        <v>0</v>
      </c>
      <c r="O260" s="13">
        <v>0</v>
      </c>
    </row>
    <row r="261" spans="1:15">
      <c r="K261" s="13" t="s">
        <v>150</v>
      </c>
      <c r="L261" s="13">
        <v>0.05</v>
      </c>
      <c r="M261" s="13">
        <v>0.05</v>
      </c>
      <c r="N261" s="13">
        <v>0.05</v>
      </c>
      <c r="O261" s="13">
        <v>0.05</v>
      </c>
    </row>
    <row r="262" spans="1:15">
      <c r="K262" s="13" t="s">
        <v>151</v>
      </c>
      <c r="L262" s="13">
        <v>0.05</v>
      </c>
      <c r="M262" s="13">
        <v>0.05</v>
      </c>
      <c r="N262" s="13">
        <v>0.05</v>
      </c>
      <c r="O262" s="13">
        <v>0.05</v>
      </c>
    </row>
    <row r="263" spans="1:15">
      <c r="A263" s="11" t="s">
        <v>156</v>
      </c>
      <c r="K263" s="4" t="s">
        <v>170</v>
      </c>
      <c r="L263" s="4">
        <v>0.1</v>
      </c>
      <c r="M263" s="4">
        <v>0.1</v>
      </c>
      <c r="N263" s="4">
        <v>0.1</v>
      </c>
      <c r="O263" s="4">
        <v>0.1</v>
      </c>
    </row>
    <row r="264" spans="1:15">
      <c r="K264" s="4" t="s">
        <v>171</v>
      </c>
      <c r="L264" s="4">
        <v>0.06</v>
      </c>
      <c r="M264" s="4">
        <v>0.06</v>
      </c>
      <c r="N264" s="4">
        <v>0.06</v>
      </c>
      <c r="O264" s="4">
        <v>0.06</v>
      </c>
    </row>
    <row r="265" spans="1:15">
      <c r="A265" s="3" t="s">
        <v>0</v>
      </c>
      <c r="B265" s="12">
        <v>400</v>
      </c>
      <c r="C265" s="12">
        <v>450</v>
      </c>
      <c r="D265" s="3">
        <v>500</v>
      </c>
    </row>
    <row r="266" spans="1:15">
      <c r="A266" s="13" t="s">
        <v>157</v>
      </c>
      <c r="B266" s="13">
        <v>18</v>
      </c>
      <c r="C266" s="13">
        <v>23</v>
      </c>
      <c r="D266">
        <v>25</v>
      </c>
    </row>
    <row r="267" spans="1:15">
      <c r="A267" s="13" t="s">
        <v>121</v>
      </c>
      <c r="B267" s="13">
        <v>2.5</v>
      </c>
      <c r="C267" s="13">
        <v>3</v>
      </c>
      <c r="D267" s="13">
        <v>3</v>
      </c>
    </row>
    <row r="268" spans="1:15">
      <c r="A268" s="13" t="s">
        <v>122</v>
      </c>
      <c r="B268" s="13">
        <v>0.5</v>
      </c>
      <c r="C268" s="13">
        <v>0.7</v>
      </c>
      <c r="D268" s="13">
        <v>0.75</v>
      </c>
    </row>
    <row r="269" spans="1:15">
      <c r="A269" s="13" t="s">
        <v>125</v>
      </c>
      <c r="B269" s="13">
        <v>0.2</v>
      </c>
      <c r="C269" s="13">
        <v>0.3</v>
      </c>
      <c r="D269" s="13">
        <v>0.3</v>
      </c>
      <c r="K269" s="11" t="s">
        <v>156</v>
      </c>
    </row>
    <row r="270" spans="1:15">
      <c r="A270" s="13" t="s">
        <v>126</v>
      </c>
      <c r="B270" s="13">
        <v>0.25</v>
      </c>
      <c r="C270" s="13">
        <v>0.25</v>
      </c>
      <c r="D270" s="13">
        <v>0.25</v>
      </c>
    </row>
    <row r="271" spans="1:15">
      <c r="A271" s="13" t="s">
        <v>148</v>
      </c>
      <c r="B271" s="13">
        <v>0.2</v>
      </c>
      <c r="C271" s="13">
        <v>0.25</v>
      </c>
      <c r="D271" s="13">
        <v>0.25</v>
      </c>
      <c r="K271" s="3" t="s">
        <v>0</v>
      </c>
      <c r="L271" s="12">
        <v>600</v>
      </c>
      <c r="M271" s="12">
        <v>650</v>
      </c>
      <c r="N271" s="3">
        <v>700</v>
      </c>
      <c r="O271" s="3">
        <v>750</v>
      </c>
    </row>
    <row r="272" spans="1:15">
      <c r="A272" s="13" t="s">
        <v>149</v>
      </c>
      <c r="B272" s="13">
        <v>0.5</v>
      </c>
      <c r="C272" s="13">
        <v>0.7</v>
      </c>
      <c r="D272" s="13">
        <v>0.8</v>
      </c>
      <c r="K272" s="13" t="s">
        <v>157</v>
      </c>
      <c r="L272" s="13">
        <v>22</v>
      </c>
      <c r="M272" s="13">
        <v>24</v>
      </c>
      <c r="N272">
        <v>25</v>
      </c>
      <c r="O272">
        <v>28</v>
      </c>
    </row>
    <row r="273" spans="1:15">
      <c r="A273" s="13" t="s">
        <v>133</v>
      </c>
      <c r="B273" s="13">
        <v>0</v>
      </c>
      <c r="C273" s="13">
        <v>0</v>
      </c>
      <c r="D273" s="13">
        <v>0</v>
      </c>
      <c r="K273" s="13" t="s">
        <v>121</v>
      </c>
      <c r="L273" s="13">
        <v>3</v>
      </c>
      <c r="M273" s="13">
        <v>3</v>
      </c>
      <c r="N273" s="13">
        <v>3</v>
      </c>
      <c r="O273" s="13">
        <v>3</v>
      </c>
    </row>
    <row r="274" spans="1:15">
      <c r="A274" s="13" t="s">
        <v>150</v>
      </c>
      <c r="B274" s="13">
        <v>0.05</v>
      </c>
      <c r="C274" s="13">
        <v>0.05</v>
      </c>
      <c r="D274" s="13">
        <v>0.05</v>
      </c>
      <c r="K274" s="13" t="s">
        <v>122</v>
      </c>
      <c r="L274" s="13">
        <v>2</v>
      </c>
      <c r="M274" s="13">
        <v>2</v>
      </c>
      <c r="N274" s="13">
        <v>2</v>
      </c>
      <c r="O274" s="13">
        <v>2</v>
      </c>
    </row>
    <row r="275" spans="1:15">
      <c r="A275" s="13" t="s">
        <v>151</v>
      </c>
      <c r="B275" s="13">
        <v>0.05</v>
      </c>
      <c r="C275" s="13">
        <v>0.05</v>
      </c>
      <c r="D275" s="13">
        <v>0.05</v>
      </c>
      <c r="K275" s="13" t="s">
        <v>125</v>
      </c>
      <c r="L275" s="13">
        <v>0</v>
      </c>
      <c r="M275" s="13">
        <v>0</v>
      </c>
      <c r="N275" s="13">
        <v>0</v>
      </c>
      <c r="O275" s="13">
        <v>0</v>
      </c>
    </row>
    <row r="276" spans="1:15">
      <c r="A276" s="4" t="s">
        <v>170</v>
      </c>
      <c r="B276" s="4">
        <v>0.1</v>
      </c>
      <c r="C276" s="4">
        <v>0.1</v>
      </c>
      <c r="D276" s="4">
        <v>0.1</v>
      </c>
      <c r="K276" s="13" t="s">
        <v>126</v>
      </c>
      <c r="L276" s="13">
        <v>0.75</v>
      </c>
      <c r="M276" s="13">
        <v>1</v>
      </c>
      <c r="N276" s="13">
        <v>1</v>
      </c>
      <c r="O276" s="13">
        <v>1</v>
      </c>
    </row>
    <row r="277" spans="1:15">
      <c r="A277" s="4" t="s">
        <v>171</v>
      </c>
      <c r="B277" s="4">
        <v>0.06</v>
      </c>
      <c r="C277" s="4">
        <v>0.06</v>
      </c>
      <c r="D277" s="4">
        <v>0.06</v>
      </c>
      <c r="K277" s="13" t="s">
        <v>148</v>
      </c>
      <c r="L277" s="13">
        <v>0</v>
      </c>
      <c r="M277" s="13">
        <v>0.1</v>
      </c>
      <c r="N277" s="13">
        <v>0.3</v>
      </c>
      <c r="O277" s="13">
        <v>0.3</v>
      </c>
    </row>
    <row r="278" spans="1:15">
      <c r="A278" s="4" t="s">
        <v>173</v>
      </c>
      <c r="B278" s="4">
        <v>0.06</v>
      </c>
      <c r="C278" s="4">
        <v>7.0000000000000007E-2</v>
      </c>
      <c r="D278" s="4">
        <v>7.0000000000000007E-2</v>
      </c>
      <c r="K278" s="13" t="s">
        <v>149</v>
      </c>
      <c r="L278" s="13">
        <v>1</v>
      </c>
      <c r="M278" s="13">
        <v>1.1000000000000001</v>
      </c>
      <c r="N278" s="13">
        <v>1.3</v>
      </c>
      <c r="O278" s="13">
        <v>1.3</v>
      </c>
    </row>
    <row r="279" spans="1:15">
      <c r="K279" s="13" t="s">
        <v>133</v>
      </c>
      <c r="L279" s="13">
        <v>0</v>
      </c>
      <c r="M279" s="13">
        <v>0</v>
      </c>
      <c r="N279" s="13">
        <v>0</v>
      </c>
      <c r="O279" s="13">
        <v>0</v>
      </c>
    </row>
    <row r="280" spans="1:15">
      <c r="K280" s="13" t="s">
        <v>150</v>
      </c>
      <c r="L280" s="13">
        <v>0.05</v>
      </c>
      <c r="M280" s="13">
        <v>0.05</v>
      </c>
      <c r="N280" s="13">
        <v>0.05</v>
      </c>
      <c r="O280" s="13">
        <v>0.05</v>
      </c>
    </row>
    <row r="281" spans="1:15">
      <c r="A281" s="11" t="s">
        <v>158</v>
      </c>
      <c r="K281" s="13" t="s">
        <v>151</v>
      </c>
      <c r="L281" s="13">
        <v>0.05</v>
      </c>
      <c r="M281" s="13">
        <v>0.05</v>
      </c>
      <c r="N281" s="13">
        <v>0.05</v>
      </c>
      <c r="O281" s="13">
        <v>0.05</v>
      </c>
    </row>
    <row r="282" spans="1:15">
      <c r="K282" s="4" t="s">
        <v>170</v>
      </c>
      <c r="L282" s="4">
        <v>0.1</v>
      </c>
      <c r="M282" s="4">
        <v>0.1</v>
      </c>
      <c r="N282" s="4">
        <v>0.1</v>
      </c>
      <c r="O282" s="4">
        <v>0.1</v>
      </c>
    </row>
    <row r="283" spans="1:15">
      <c r="A283" s="3" t="s">
        <v>0</v>
      </c>
      <c r="B283" s="12">
        <v>400</v>
      </c>
      <c r="C283" s="12">
        <v>450</v>
      </c>
      <c r="D283" s="3">
        <v>500</v>
      </c>
      <c r="K283" s="4" t="s">
        <v>171</v>
      </c>
      <c r="L283" s="4">
        <v>0.08</v>
      </c>
      <c r="M283" s="4">
        <v>0.08</v>
      </c>
      <c r="N283" s="4">
        <v>0.08</v>
      </c>
      <c r="O283" s="4">
        <v>0.08</v>
      </c>
    </row>
    <row r="284" spans="1:15">
      <c r="A284" s="13" t="s">
        <v>159</v>
      </c>
      <c r="B284" s="13">
        <v>18</v>
      </c>
      <c r="C284" s="13">
        <v>19</v>
      </c>
      <c r="D284">
        <v>22</v>
      </c>
      <c r="K284" s="22" t="s">
        <v>152</v>
      </c>
      <c r="L284" s="22">
        <v>0.1</v>
      </c>
      <c r="M284" s="22">
        <v>0.1</v>
      </c>
      <c r="N284" s="22">
        <v>0.1</v>
      </c>
      <c r="O284" s="22">
        <v>0.1</v>
      </c>
    </row>
    <row r="285" spans="1:15">
      <c r="A285" s="13" t="s">
        <v>121</v>
      </c>
      <c r="B285" s="13">
        <v>2.5</v>
      </c>
      <c r="C285" s="13">
        <v>1.5</v>
      </c>
      <c r="D285" s="13">
        <v>1.5</v>
      </c>
    </row>
    <row r="286" spans="1:15">
      <c r="A286" s="13" t="s">
        <v>122</v>
      </c>
      <c r="B286" s="13">
        <v>0.5</v>
      </c>
      <c r="C286" s="13">
        <v>0.5</v>
      </c>
      <c r="D286" s="13">
        <v>0.7</v>
      </c>
    </row>
    <row r="287" spans="1:15">
      <c r="A287" s="13" t="s">
        <v>125</v>
      </c>
      <c r="B287" s="13">
        <v>0.2</v>
      </c>
      <c r="C287" s="13">
        <v>0.3</v>
      </c>
      <c r="D287" s="13">
        <v>0.3</v>
      </c>
    </row>
    <row r="288" spans="1:15">
      <c r="A288" s="13" t="s">
        <v>126</v>
      </c>
      <c r="B288" s="13">
        <v>0</v>
      </c>
      <c r="C288" s="13">
        <v>0</v>
      </c>
      <c r="D288" s="13">
        <v>0</v>
      </c>
    </row>
    <row r="289" spans="1:15">
      <c r="A289" s="13" t="s">
        <v>148</v>
      </c>
      <c r="B289" s="13">
        <v>0.1</v>
      </c>
      <c r="C289" s="13">
        <v>0.1</v>
      </c>
      <c r="D289" s="13">
        <v>0.1</v>
      </c>
      <c r="K289" s="11" t="s">
        <v>158</v>
      </c>
    </row>
    <row r="290" spans="1:15">
      <c r="A290" s="13" t="s">
        <v>149</v>
      </c>
      <c r="B290" s="13">
        <v>0.5</v>
      </c>
      <c r="C290" s="13">
        <v>0.6</v>
      </c>
      <c r="D290" s="13">
        <v>0.6</v>
      </c>
    </row>
    <row r="291" spans="1:15">
      <c r="A291" s="13" t="s">
        <v>133</v>
      </c>
      <c r="B291" s="13">
        <v>0</v>
      </c>
      <c r="C291" s="13">
        <v>0</v>
      </c>
      <c r="D291" s="13">
        <v>0</v>
      </c>
      <c r="K291" s="3" t="s">
        <v>0</v>
      </c>
      <c r="L291" s="12">
        <v>600</v>
      </c>
      <c r="M291" s="12">
        <v>650</v>
      </c>
      <c r="N291" s="3">
        <v>700</v>
      </c>
      <c r="O291" s="3">
        <v>750</v>
      </c>
    </row>
    <row r="292" spans="1:15">
      <c r="A292" s="13" t="s">
        <v>150</v>
      </c>
      <c r="B292" s="13">
        <v>0.05</v>
      </c>
      <c r="C292" s="13">
        <v>0.05</v>
      </c>
      <c r="D292" s="13">
        <v>0.05</v>
      </c>
      <c r="K292" s="13" t="s">
        <v>159</v>
      </c>
      <c r="L292" s="13">
        <v>22</v>
      </c>
      <c r="M292" s="13">
        <v>24</v>
      </c>
      <c r="N292">
        <v>25</v>
      </c>
      <c r="O292">
        <v>28</v>
      </c>
    </row>
    <row r="293" spans="1:15">
      <c r="A293" s="13" t="s">
        <v>151</v>
      </c>
      <c r="B293" s="13">
        <v>0.05</v>
      </c>
      <c r="C293" s="13">
        <v>0.05</v>
      </c>
      <c r="D293" s="13">
        <v>0.05</v>
      </c>
      <c r="K293" s="13" t="s">
        <v>121</v>
      </c>
      <c r="L293" s="13">
        <v>3</v>
      </c>
      <c r="M293" s="13">
        <v>1</v>
      </c>
      <c r="N293" s="13">
        <v>1</v>
      </c>
      <c r="O293" s="13">
        <v>1</v>
      </c>
    </row>
    <row r="294" spans="1:15">
      <c r="A294" s="4" t="s">
        <v>170</v>
      </c>
      <c r="B294" s="4">
        <v>0.1</v>
      </c>
      <c r="C294" s="4">
        <v>0.1</v>
      </c>
      <c r="D294" s="4">
        <v>0.1</v>
      </c>
      <c r="K294" s="13" t="s">
        <v>122</v>
      </c>
      <c r="L294" s="13">
        <v>0.75</v>
      </c>
      <c r="M294" s="13">
        <v>0.75</v>
      </c>
      <c r="N294" s="13">
        <v>1</v>
      </c>
      <c r="O294" s="13">
        <v>1</v>
      </c>
    </row>
    <row r="295" spans="1:15">
      <c r="A295" s="4" t="s">
        <v>171</v>
      </c>
      <c r="B295" s="4">
        <v>0.06</v>
      </c>
      <c r="C295" s="4">
        <v>0.06</v>
      </c>
      <c r="D295" s="4">
        <v>0.06</v>
      </c>
      <c r="K295" s="13" t="s">
        <v>125</v>
      </c>
      <c r="L295" s="13">
        <v>0</v>
      </c>
      <c r="M295" s="13">
        <v>0</v>
      </c>
      <c r="N295" s="13">
        <v>0</v>
      </c>
      <c r="O295" s="13">
        <v>0</v>
      </c>
    </row>
    <row r="296" spans="1:15">
      <c r="A296" s="4" t="s">
        <v>173</v>
      </c>
      <c r="B296" s="4">
        <v>7.0000000000000007E-2</v>
      </c>
      <c r="C296" s="4">
        <v>7.0000000000000007E-2</v>
      </c>
      <c r="D296" s="4">
        <v>7.0000000000000007E-2</v>
      </c>
      <c r="K296" s="13" t="s">
        <v>126</v>
      </c>
      <c r="L296" s="13">
        <v>0.75</v>
      </c>
      <c r="M296" s="13">
        <v>1</v>
      </c>
      <c r="N296" s="13">
        <v>1</v>
      </c>
      <c r="O296" s="13">
        <v>1</v>
      </c>
    </row>
    <row r="297" spans="1:15">
      <c r="K297" s="13" t="s">
        <v>148</v>
      </c>
      <c r="L297" s="13">
        <v>0</v>
      </c>
      <c r="M297" s="13">
        <v>0</v>
      </c>
      <c r="N297" s="13">
        <v>0</v>
      </c>
      <c r="O297" s="13">
        <v>0</v>
      </c>
    </row>
    <row r="298" spans="1:15">
      <c r="K298" s="13" t="s">
        <v>149</v>
      </c>
      <c r="L298" s="13">
        <v>0.5</v>
      </c>
      <c r="M298" s="13">
        <v>1</v>
      </c>
      <c r="N298" s="13">
        <v>1</v>
      </c>
      <c r="O298" s="13">
        <v>1</v>
      </c>
    </row>
    <row r="299" spans="1:15">
      <c r="K299" s="13" t="s">
        <v>133</v>
      </c>
      <c r="L299" s="13">
        <v>0</v>
      </c>
      <c r="M299" s="13">
        <v>0</v>
      </c>
      <c r="N299" s="13">
        <v>0</v>
      </c>
      <c r="O299" s="13">
        <v>0</v>
      </c>
    </row>
    <row r="300" spans="1:15">
      <c r="K300" s="13" t="s">
        <v>150</v>
      </c>
      <c r="L300" s="13">
        <v>0.05</v>
      </c>
      <c r="M300" s="13">
        <v>0.05</v>
      </c>
      <c r="N300" s="13">
        <v>0.05</v>
      </c>
      <c r="O300" s="13">
        <v>0.05</v>
      </c>
    </row>
    <row r="301" spans="1:15">
      <c r="K301" s="13" t="s">
        <v>151</v>
      </c>
      <c r="L301" s="13">
        <v>0.05</v>
      </c>
      <c r="M301" s="13">
        <v>0.05</v>
      </c>
      <c r="N301" s="13">
        <v>0.05</v>
      </c>
      <c r="O301" s="13">
        <v>0.05</v>
      </c>
    </row>
    <row r="302" spans="1:15">
      <c r="K302" s="4" t="s">
        <v>170</v>
      </c>
      <c r="L302" s="4">
        <v>0.1</v>
      </c>
      <c r="M302" s="4">
        <v>0.1</v>
      </c>
      <c r="N302" s="4">
        <v>0.1</v>
      </c>
      <c r="O302" s="4">
        <v>0.1</v>
      </c>
    </row>
    <row r="303" spans="1:15">
      <c r="K303" s="4" t="s">
        <v>171</v>
      </c>
      <c r="L303" s="4">
        <v>0.08</v>
      </c>
      <c r="M303" s="4">
        <v>0.08</v>
      </c>
      <c r="N303" s="4">
        <v>0.08</v>
      </c>
      <c r="O303" s="4">
        <v>0.08</v>
      </c>
    </row>
    <row r="304" spans="1:15">
      <c r="K304" s="22" t="s">
        <v>152</v>
      </c>
      <c r="L304" s="22">
        <v>0.05</v>
      </c>
      <c r="M304" s="22">
        <v>0.05</v>
      </c>
      <c r="N304" s="22">
        <v>0.05</v>
      </c>
      <c r="O304" s="22">
        <v>0.05</v>
      </c>
    </row>
    <row r="307" spans="11:15">
      <c r="K307" s="11" t="s">
        <v>174</v>
      </c>
    </row>
    <row r="309" spans="11:15">
      <c r="K309" s="3" t="s">
        <v>0</v>
      </c>
      <c r="L309" s="12">
        <v>600</v>
      </c>
      <c r="M309" s="12">
        <v>650</v>
      </c>
      <c r="N309" s="3">
        <v>700</v>
      </c>
      <c r="O309" s="3">
        <v>750</v>
      </c>
    </row>
    <row r="310" spans="11:15">
      <c r="K310" s="13" t="s">
        <v>157</v>
      </c>
      <c r="L310" s="13">
        <v>10</v>
      </c>
      <c r="M310" s="13">
        <v>10</v>
      </c>
      <c r="N310" s="22">
        <v>10</v>
      </c>
      <c r="O310" s="22">
        <v>28</v>
      </c>
    </row>
    <row r="311" spans="11:15">
      <c r="K311" s="13" t="s">
        <v>165</v>
      </c>
      <c r="L311" s="13">
        <v>12</v>
      </c>
      <c r="M311" s="13">
        <v>14</v>
      </c>
      <c r="N311" s="22">
        <v>15</v>
      </c>
      <c r="O311" s="22"/>
    </row>
    <row r="312" spans="11:15">
      <c r="K312" s="13" t="s">
        <v>121</v>
      </c>
      <c r="L312" s="13">
        <v>2.5</v>
      </c>
      <c r="M312" s="13">
        <v>2.5</v>
      </c>
      <c r="N312" s="13">
        <v>2</v>
      </c>
      <c r="O312" s="13">
        <v>2.5</v>
      </c>
    </row>
    <row r="313" spans="11:15">
      <c r="K313" s="13" t="s">
        <v>122</v>
      </c>
      <c r="L313" s="13">
        <v>1</v>
      </c>
      <c r="M313" s="13">
        <v>1.5</v>
      </c>
      <c r="N313" s="13">
        <v>1.7</v>
      </c>
      <c r="O313" s="13">
        <v>1.7</v>
      </c>
    </row>
    <row r="314" spans="11:15">
      <c r="K314" s="13" t="s">
        <v>125</v>
      </c>
      <c r="L314" s="13">
        <v>0</v>
      </c>
      <c r="M314" s="13">
        <v>0</v>
      </c>
      <c r="N314" s="13">
        <v>0</v>
      </c>
      <c r="O314" s="13">
        <v>0</v>
      </c>
    </row>
    <row r="315" spans="11:15">
      <c r="K315" s="13" t="s">
        <v>126</v>
      </c>
      <c r="L315" s="13">
        <v>0.75</v>
      </c>
      <c r="M315" s="13">
        <v>1</v>
      </c>
      <c r="N315" s="13">
        <v>1</v>
      </c>
      <c r="O315" s="13">
        <v>1</v>
      </c>
    </row>
    <row r="316" spans="11:15">
      <c r="K316" s="13" t="s">
        <v>148</v>
      </c>
      <c r="L316" s="13">
        <v>0</v>
      </c>
      <c r="M316" s="13">
        <v>0.1</v>
      </c>
      <c r="N316" s="13">
        <v>0.3</v>
      </c>
      <c r="O316" s="13">
        <v>0.3</v>
      </c>
    </row>
    <row r="317" spans="11:15">
      <c r="K317" s="13" t="s">
        <v>149</v>
      </c>
      <c r="L317" s="13">
        <v>0.9</v>
      </c>
      <c r="M317" s="13">
        <v>0.9</v>
      </c>
      <c r="N317" s="13">
        <v>1</v>
      </c>
      <c r="O317" s="13">
        <v>1</v>
      </c>
    </row>
    <row r="318" spans="11:15">
      <c r="K318" s="13" t="s">
        <v>133</v>
      </c>
      <c r="L318" s="13">
        <v>0</v>
      </c>
      <c r="M318" s="13">
        <v>0</v>
      </c>
      <c r="N318" s="13">
        <v>0</v>
      </c>
      <c r="O318" s="13">
        <v>0</v>
      </c>
    </row>
    <row r="319" spans="11:15">
      <c r="K319" s="13" t="s">
        <v>150</v>
      </c>
      <c r="L319" s="13">
        <v>0.05</v>
      </c>
      <c r="M319" s="13">
        <v>0.05</v>
      </c>
      <c r="N319" s="13">
        <v>0.05</v>
      </c>
      <c r="O319" s="13">
        <v>0.05</v>
      </c>
    </row>
    <row r="320" spans="11:15">
      <c r="K320" s="13" t="s">
        <v>151</v>
      </c>
      <c r="L320" s="13">
        <v>0.05</v>
      </c>
      <c r="M320" s="13">
        <v>0.05</v>
      </c>
      <c r="N320" s="13">
        <v>0.05</v>
      </c>
      <c r="O320" s="13">
        <v>0.05</v>
      </c>
    </row>
    <row r="321" spans="11:15">
      <c r="K321" s="4" t="s">
        <v>170</v>
      </c>
      <c r="L321" s="4">
        <v>0.1</v>
      </c>
      <c r="M321" s="4">
        <v>0.1</v>
      </c>
      <c r="N321" s="4">
        <v>0.1</v>
      </c>
      <c r="O321" s="4">
        <v>0.1</v>
      </c>
    </row>
    <row r="322" spans="11:15">
      <c r="K322" s="4" t="s">
        <v>171</v>
      </c>
      <c r="L322" s="4">
        <v>0.08</v>
      </c>
      <c r="M322" s="4">
        <v>0.08</v>
      </c>
      <c r="N322" s="4">
        <v>0.08</v>
      </c>
      <c r="O322" s="4">
        <v>0.08</v>
      </c>
    </row>
    <row r="323" spans="11:15">
      <c r="K323" s="22" t="s">
        <v>152</v>
      </c>
      <c r="L323" s="22">
        <v>0.1</v>
      </c>
      <c r="M323" s="22">
        <v>0.1</v>
      </c>
      <c r="N323" s="22">
        <v>0.1</v>
      </c>
      <c r="O323" s="22">
        <v>0.1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26"/>
    </sheetView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Muhammad Abdullah Nabeel</cp:lastModifiedBy>
  <dcterms:created xsi:type="dcterms:W3CDTF">2023-09-15T10:50:00Z</dcterms:created>
  <dcterms:modified xsi:type="dcterms:W3CDTF">2023-10-02T14:40:33Z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A2F860F6BF22482C840F6E03F0CAB110_12</vt:lpwstr>
  </property>
  <property fmtid="{D5CDD505-2E9C-101B-9397-08002B2CF9AE}" pid="3" name="KSOProductBuildVer">
    <vt:lpwstr>1033-12.2.0.13215</vt:lpwstr>
  </property>
</Properties>
</file>