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\\userfs\ms2831\w2k\Desktop\"/>
    </mc:Choice>
  </mc:AlternateContent>
  <xr:revisionPtr revIDLastSave="0" documentId="8_{DEA59796-664A-4009-A9BF-23197DD296B1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" i="1" l="1"/>
  <c r="B40" i="1"/>
  <c r="B39" i="1"/>
  <c r="B38" i="1"/>
  <c r="B37" i="1"/>
  <c r="G38" i="1"/>
  <c r="G36" i="1"/>
  <c r="G37" i="1" s="1"/>
  <c r="G33" i="1"/>
  <c r="G31" i="1"/>
  <c r="G30" i="1"/>
  <c r="G28" i="1"/>
  <c r="G27" i="1"/>
  <c r="C28" i="1"/>
  <c r="C32" i="1"/>
  <c r="C35" i="1"/>
  <c r="C34" i="1"/>
  <c r="B34" i="1"/>
  <c r="C31" i="1"/>
  <c r="C27" i="1" s="1"/>
  <c r="B31" i="1"/>
  <c r="G25" i="1"/>
  <c r="B9" i="1" l="1"/>
  <c r="B8" i="1"/>
  <c r="AC3" i="1" l="1"/>
  <c r="AC4" i="1" s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E14" i="1" s="1"/>
  <c r="K3" i="1"/>
  <c r="K4" i="1" s="1"/>
  <c r="K5" i="1" s="1"/>
  <c r="K6" i="1" s="1"/>
  <c r="M6" i="1" s="1"/>
  <c r="B21" i="1"/>
  <c r="B20" i="1"/>
  <c r="B12" i="1"/>
  <c r="B15" i="1" s="1"/>
  <c r="B18" i="1" s="1"/>
  <c r="B11" i="1"/>
  <c r="B14" i="1" s="1"/>
  <c r="B17" i="1" s="1"/>
  <c r="P2" i="1"/>
  <c r="F2" i="1"/>
  <c r="G2" i="1" s="1"/>
  <c r="H2" i="1" s="1"/>
  <c r="I2" i="1" s="1"/>
  <c r="J2" i="1" s="1"/>
  <c r="J9" i="1" s="1"/>
  <c r="Q1" i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G1" i="1"/>
  <c r="H1" i="1" s="1"/>
  <c r="I1" i="1" s="1"/>
  <c r="J1" i="1" s="1"/>
  <c r="AE12" i="1" l="1"/>
  <c r="AE8" i="1"/>
  <c r="AE4" i="1"/>
  <c r="AE13" i="1"/>
  <c r="AE5" i="1"/>
  <c r="AE11" i="1"/>
  <c r="AE7" i="1"/>
  <c r="AE3" i="1"/>
  <c r="AE2" i="1"/>
  <c r="AE10" i="1"/>
  <c r="AE6" i="1"/>
  <c r="AE9" i="1"/>
  <c r="AD3" i="1"/>
  <c r="AD7" i="1"/>
  <c r="AD11" i="1"/>
  <c r="AD2" i="1"/>
  <c r="AD4" i="1"/>
  <c r="AD8" i="1"/>
  <c r="AD12" i="1"/>
  <c r="AD5" i="1"/>
  <c r="AD9" i="1"/>
  <c r="AD13" i="1"/>
  <c r="AD6" i="1"/>
  <c r="AD10" i="1"/>
  <c r="AD14" i="1"/>
  <c r="Q3" i="1"/>
  <c r="Q2" i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B19" i="1" s="1"/>
  <c r="N2" i="1"/>
  <c r="M5" i="1"/>
  <c r="M4" i="1"/>
  <c r="M3" i="1"/>
  <c r="M2" i="1"/>
  <c r="L3" i="1"/>
  <c r="L4" i="1"/>
  <c r="G3" i="1"/>
  <c r="L2" i="1"/>
  <c r="L6" i="1"/>
  <c r="L5" i="1"/>
  <c r="AF2" i="1" l="1"/>
  <c r="R3" i="1"/>
  <c r="S3" i="1" s="1"/>
  <c r="T3" i="1" s="1"/>
  <c r="U3" i="1" s="1"/>
  <c r="V3" i="1" s="1"/>
  <c r="W3" i="1" s="1"/>
  <c r="X3" i="1" s="1"/>
  <c r="Y3" i="1" s="1"/>
  <c r="Z3" i="1" s="1"/>
  <c r="AA3" i="1" s="1"/>
  <c r="AB3" i="1" s="1"/>
  <c r="R4" i="1"/>
  <c r="H3" i="1"/>
  <c r="I3" i="1" s="1"/>
  <c r="J3" i="1" s="1"/>
  <c r="H4" i="1"/>
  <c r="AB20" i="1" l="1"/>
  <c r="AA19" i="1" s="1"/>
  <c r="AF3" i="1"/>
  <c r="J10" i="1"/>
  <c r="I9" i="1" s="1"/>
  <c r="N3" i="1"/>
  <c r="S5" i="1"/>
  <c r="S4" i="1"/>
  <c r="T4" i="1" s="1"/>
  <c r="U4" i="1" s="1"/>
  <c r="V4" i="1" s="1"/>
  <c r="W4" i="1" s="1"/>
  <c r="X4" i="1" s="1"/>
  <c r="Y4" i="1" s="1"/>
  <c r="Z4" i="1" s="1"/>
  <c r="AA4" i="1" s="1"/>
  <c r="AB4" i="1" s="1"/>
  <c r="I4" i="1"/>
  <c r="J4" i="1" s="1"/>
  <c r="I5" i="1"/>
  <c r="J11" i="1" l="1"/>
  <c r="I10" i="1" s="1"/>
  <c r="N4" i="1"/>
  <c r="AB21" i="1"/>
  <c r="AA20" i="1" s="1"/>
  <c r="Z19" i="1" s="1"/>
  <c r="AF4" i="1"/>
  <c r="H9" i="1"/>
  <c r="T6" i="1"/>
  <c r="T5" i="1"/>
  <c r="U5" i="1" s="1"/>
  <c r="V5" i="1" s="1"/>
  <c r="W5" i="1" s="1"/>
  <c r="X5" i="1" s="1"/>
  <c r="Y5" i="1" s="1"/>
  <c r="Z5" i="1" s="1"/>
  <c r="AA5" i="1" s="1"/>
  <c r="AB5" i="1" s="1"/>
  <c r="J6" i="1"/>
  <c r="J5" i="1"/>
  <c r="AB22" i="1" l="1"/>
  <c r="AA21" i="1" s="1"/>
  <c r="Z20" i="1" s="1"/>
  <c r="AF5" i="1"/>
  <c r="J12" i="1"/>
  <c r="N5" i="1"/>
  <c r="J13" i="1"/>
  <c r="N6" i="1"/>
  <c r="U6" i="1"/>
  <c r="V6" i="1" s="1"/>
  <c r="W6" i="1" s="1"/>
  <c r="X6" i="1" s="1"/>
  <c r="Y6" i="1" s="1"/>
  <c r="Z6" i="1" s="1"/>
  <c r="AA6" i="1" s="1"/>
  <c r="AB6" i="1" s="1"/>
  <c r="U7" i="1"/>
  <c r="I12" i="1" l="1"/>
  <c r="H11" i="1" s="1"/>
  <c r="AB23" i="1"/>
  <c r="AF6" i="1"/>
  <c r="I11" i="1"/>
  <c r="H10" i="1" s="1"/>
  <c r="V7" i="1"/>
  <c r="W7" i="1" s="1"/>
  <c r="X7" i="1" s="1"/>
  <c r="Y7" i="1" s="1"/>
  <c r="Z7" i="1" s="1"/>
  <c r="AA7" i="1" s="1"/>
  <c r="AB7" i="1" s="1"/>
  <c r="V8" i="1"/>
  <c r="AA22" i="1"/>
  <c r="Y19" i="1"/>
  <c r="AB24" i="1" l="1"/>
  <c r="AA23" i="1" s="1"/>
  <c r="AF7" i="1"/>
  <c r="Z21" i="1"/>
  <c r="W9" i="1"/>
  <c r="W8" i="1"/>
  <c r="X8" i="1" s="1"/>
  <c r="Y8" i="1" s="1"/>
  <c r="Z8" i="1" s="1"/>
  <c r="AA8" i="1" s="1"/>
  <c r="AB8" i="1" s="1"/>
  <c r="G10" i="1"/>
  <c r="G9" i="1"/>
  <c r="F9" i="1" l="1"/>
  <c r="AB26" i="1"/>
  <c r="AA24" i="1" s="1"/>
  <c r="AF8" i="1"/>
  <c r="X9" i="1"/>
  <c r="Y9" i="1" s="1"/>
  <c r="Z9" i="1" s="1"/>
  <c r="AA9" i="1" s="1"/>
  <c r="AB9" i="1" s="1"/>
  <c r="X10" i="1"/>
  <c r="Y20" i="1"/>
  <c r="Z22" i="1"/>
  <c r="AB27" i="1" l="1"/>
  <c r="AA26" i="1" s="1"/>
  <c r="AF9" i="1"/>
  <c r="X19" i="1"/>
  <c r="Y10" i="1"/>
  <c r="Z10" i="1" s="1"/>
  <c r="AA10" i="1" s="1"/>
  <c r="AB10" i="1" s="1"/>
  <c r="Y11" i="1"/>
  <c r="Y21" i="1"/>
  <c r="X20" i="1" s="1"/>
  <c r="Z23" i="1"/>
  <c r="AB28" i="1" l="1"/>
  <c r="AA27" i="1" s="1"/>
  <c r="Z26" i="1" s="1"/>
  <c r="AF10" i="1"/>
  <c r="W19" i="1"/>
  <c r="Z24" i="1"/>
  <c r="Z12" i="1"/>
  <c r="Z11" i="1"/>
  <c r="AA11" i="1" s="1"/>
  <c r="AB11" i="1" s="1"/>
  <c r="Y22" i="1"/>
  <c r="AB30" i="1" l="1"/>
  <c r="AF11" i="1"/>
  <c r="Y24" i="1"/>
  <c r="Y23" i="1"/>
  <c r="X23" i="1" s="1"/>
  <c r="AA28" i="1"/>
  <c r="AA13" i="1"/>
  <c r="AA12" i="1"/>
  <c r="AB12" i="1" s="1"/>
  <c r="X21" i="1"/>
  <c r="AB31" i="1" l="1"/>
  <c r="AA30" i="1" s="1"/>
  <c r="Z28" i="1" s="1"/>
  <c r="AF12" i="1"/>
  <c r="W20" i="1"/>
  <c r="Z27" i="1"/>
  <c r="AB13" i="1"/>
  <c r="AB14" i="1"/>
  <c r="X22" i="1"/>
  <c r="W22" i="1" s="1"/>
  <c r="AB33" i="1" l="1"/>
  <c r="AF14" i="1"/>
  <c r="AB32" i="1"/>
  <c r="AF13" i="1"/>
  <c r="V19" i="1"/>
  <c r="Y27" i="1"/>
  <c r="Y26" i="1"/>
  <c r="W21" i="1"/>
  <c r="V21" i="1" s="1"/>
  <c r="AA32" i="1" l="1"/>
  <c r="AA31" i="1"/>
  <c r="V20" i="1"/>
  <c r="U20" i="1" s="1"/>
  <c r="X26" i="1"/>
  <c r="X24" i="1"/>
  <c r="Z30" i="1"/>
  <c r="Z31" i="1" l="1"/>
  <c r="Y30" i="1" s="1"/>
  <c r="Y28" i="1"/>
  <c r="W24" i="1"/>
  <c r="W23" i="1"/>
  <c r="U19" i="1"/>
  <c r="T19" i="1" s="1"/>
  <c r="X28" i="1" l="1"/>
  <c r="X27" i="1"/>
  <c r="V23" i="1"/>
  <c r="V22" i="1"/>
  <c r="W27" i="1" l="1"/>
  <c r="W26" i="1"/>
  <c r="U22" i="1"/>
  <c r="U21" i="1"/>
  <c r="T21" i="1" l="1"/>
  <c r="T20" i="1"/>
  <c r="V26" i="1"/>
  <c r="V24" i="1"/>
  <c r="U24" i="1" l="1"/>
  <c r="U23" i="1"/>
  <c r="S20" i="1"/>
  <c r="S19" i="1"/>
  <c r="R19" i="1" l="1"/>
  <c r="T23" i="1"/>
  <c r="T22" i="1"/>
  <c r="S22" i="1" l="1"/>
  <c r="S21" i="1"/>
  <c r="R21" i="1" l="1"/>
  <c r="R20" i="1"/>
  <c r="Q20" i="1" l="1"/>
  <c r="Q19" i="1"/>
  <c r="P19" i="1" s="1"/>
</calcChain>
</file>

<file path=xl/sharedStrings.xml><?xml version="1.0" encoding="utf-8"?>
<sst xmlns="http://schemas.openxmlformats.org/spreadsheetml/2006/main" count="58" uniqueCount="48">
  <si>
    <t>S0</t>
  </si>
  <si>
    <t>K</t>
  </si>
  <si>
    <t>WACC</t>
  </si>
  <si>
    <t>sigma</t>
  </si>
  <si>
    <t>p.a.</t>
  </si>
  <si>
    <t>Property value</t>
  </si>
  <si>
    <t>Rf</t>
  </si>
  <si>
    <t>dT1</t>
  </si>
  <si>
    <t>years</t>
  </si>
  <si>
    <t>dT2</t>
  </si>
  <si>
    <t>U1</t>
  </si>
  <si>
    <t>U2</t>
  </si>
  <si>
    <t>D1</t>
  </si>
  <si>
    <t>D2</t>
  </si>
  <si>
    <t>q1</t>
  </si>
  <si>
    <t>q2</t>
  </si>
  <si>
    <t>p1</t>
  </si>
  <si>
    <t>p2</t>
  </si>
  <si>
    <t>Risk neutral probs</t>
  </si>
  <si>
    <t>Historic Cumul Prob (log-N)</t>
  </si>
  <si>
    <t>Historic Cumul Prob (exact)</t>
  </si>
  <si>
    <t># ups</t>
  </si>
  <si>
    <t>#ups</t>
  </si>
  <si>
    <t>T</t>
  </si>
  <si>
    <t>Lecture</t>
  </si>
  <si>
    <t>t=0</t>
  </si>
  <si>
    <t>t=1</t>
  </si>
  <si>
    <t>Condo price</t>
  </si>
  <si>
    <t>Condo cost</t>
  </si>
  <si>
    <t>units</t>
  </si>
  <si>
    <t>cost</t>
  </si>
  <si>
    <t>6-units</t>
  </si>
  <si>
    <t>NPV</t>
  </si>
  <si>
    <t>r</t>
  </si>
  <si>
    <t>DERIV</t>
  </si>
  <si>
    <t>9-unit</t>
  </si>
  <si>
    <t>q</t>
  </si>
  <si>
    <t>u</t>
  </si>
  <si>
    <t>d</t>
  </si>
  <si>
    <t>1-q</t>
  </si>
  <si>
    <t>DERIV0</t>
  </si>
  <si>
    <t>r_condo</t>
  </si>
  <si>
    <t>p</t>
  </si>
  <si>
    <t>r_option</t>
  </si>
  <si>
    <t>Delta</t>
  </si>
  <si>
    <t>eta</t>
  </si>
  <si>
    <t>Psi</t>
  </si>
  <si>
    <t>Overvalue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</si>
</sst>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1009]#,##0"/>
    <numFmt numFmtId="165" formatCode="0.0000"/>
    <numFmt numFmtId="166" formatCode="[$$-1004]#,##0"/>
    <numFmt numFmtId="167" formatCode="[$$-C09]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7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0" fontId="1" fillId="0" borderId="0" xfId="0" applyFont="1"/>
    <xf numFmtId="0" fontId="2" fillId="0" borderId="0" xfId="0" applyFont="1"/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0"/>
  <sheetViews>
    <sheetView tabSelected="1" topLeftCell="A4" workbookViewId="0">
      <selection activeCell="J38" sqref="J38"/>
    </sheetView>
  </sheetViews>
  <sheetFormatPr defaultRowHeight="15" x14ac:dyDescent="0.25"/>
  <cols>
    <col min="1" max="1" width="11.42578125" customWidth="1"/>
    <col min="2" max="2" width="11.140625" style="2" bestFit="1" customWidth="1"/>
    <col min="4" max="4" width="10.42578125" customWidth="1"/>
    <col min="5" max="5" width="16.140625" customWidth="1"/>
    <col min="6" max="6" width="13.5703125" customWidth="1"/>
    <col min="7" max="7" width="11.140625" style="2" bestFit="1" customWidth="1"/>
    <col min="12" max="12" width="19.140625" customWidth="1"/>
    <col min="13" max="13" width="26" customWidth="1"/>
    <col min="14" max="14" width="25.28515625" customWidth="1"/>
    <col min="17" max="17" width="11.140625" bestFit="1" customWidth="1"/>
    <col min="30" max="30" width="18.42578125" customWidth="1"/>
    <col min="31" max="31" width="25.140625" customWidth="1"/>
    <col min="32" max="32" width="25.7109375" customWidth="1"/>
  </cols>
  <sheetData>
    <row r="1" spans="1:50" x14ac:dyDescent="0.25">
      <c r="A1" t="s">
        <v>0</v>
      </c>
      <c r="B1" s="5">
        <v>200</v>
      </c>
      <c r="E1" s="2" t="s">
        <v>5</v>
      </c>
      <c r="F1" s="2">
        <v>0</v>
      </c>
      <c r="G1" s="3">
        <f>F1+$B$8</f>
        <v>0.25</v>
      </c>
      <c r="H1" s="2">
        <f t="shared" ref="H1:J1" si="0">G1+$B$8</f>
        <v>0.5</v>
      </c>
      <c r="I1" s="2">
        <f t="shared" si="0"/>
        <v>0.75</v>
      </c>
      <c r="J1" s="2">
        <f t="shared" si="0"/>
        <v>1</v>
      </c>
      <c r="K1" s="2" t="s">
        <v>21</v>
      </c>
      <c r="L1" s="2" t="s">
        <v>18</v>
      </c>
      <c r="M1" s="2" t="s">
        <v>20</v>
      </c>
      <c r="N1" s="2" t="s">
        <v>19</v>
      </c>
      <c r="O1" s="2"/>
      <c r="P1" s="2">
        <v>0</v>
      </c>
      <c r="Q1" s="3">
        <f>P1+$B$9</f>
        <v>8.3333333333333329E-2</v>
      </c>
      <c r="R1" s="2">
        <f t="shared" ref="R1:AB1" si="1">Q1+$B$9</f>
        <v>0.16666666666666666</v>
      </c>
      <c r="S1" s="2">
        <f t="shared" si="1"/>
        <v>0.25</v>
      </c>
      <c r="T1" s="2">
        <f t="shared" si="1"/>
        <v>0.33333333333333331</v>
      </c>
      <c r="U1" s="2">
        <f t="shared" si="1"/>
        <v>0.41666666666666663</v>
      </c>
      <c r="V1" s="2">
        <f t="shared" si="1"/>
        <v>0.49999999999999994</v>
      </c>
      <c r="W1" s="2">
        <f t="shared" si="1"/>
        <v>0.58333333333333326</v>
      </c>
      <c r="X1" s="2">
        <f t="shared" si="1"/>
        <v>0.66666666666666663</v>
      </c>
      <c r="Y1" s="2">
        <f t="shared" si="1"/>
        <v>0.75</v>
      </c>
      <c r="Z1" s="2">
        <f t="shared" si="1"/>
        <v>0.83333333333333337</v>
      </c>
      <c r="AA1" s="2">
        <f t="shared" si="1"/>
        <v>0.91666666666666674</v>
      </c>
      <c r="AB1" s="2">
        <f t="shared" si="1"/>
        <v>1</v>
      </c>
      <c r="AC1" s="2" t="s">
        <v>22</v>
      </c>
      <c r="AD1" s="2" t="s">
        <v>18</v>
      </c>
      <c r="AE1" s="2" t="s">
        <v>20</v>
      </c>
      <c r="AF1" s="2" t="s">
        <v>19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5">
      <c r="A2" t="s">
        <v>1</v>
      </c>
      <c r="B2" s="5">
        <v>220</v>
      </c>
      <c r="E2" s="2"/>
      <c r="F2" s="4">
        <f>B1</f>
        <v>200</v>
      </c>
      <c r="G2" s="4">
        <f>F2*$B$11</f>
        <v>226.62969061336526</v>
      </c>
      <c r="H2" s="4">
        <f t="shared" ref="H2:J2" si="2">G2*$B$11</f>
        <v>256.8050833375483</v>
      </c>
      <c r="I2" s="4">
        <f t="shared" si="2"/>
        <v>290.99828292364026</v>
      </c>
      <c r="J2" s="4">
        <f t="shared" si="2"/>
        <v>329.74425414002565</v>
      </c>
      <c r="K2" s="4">
        <v>4</v>
      </c>
      <c r="L2" s="3">
        <f>_xlfn.BINOM.DIST($K2,$K$2,$B$17,FALSE)</f>
        <v>6.2918774817264655E-2</v>
      </c>
      <c r="M2" s="3">
        <f>IF($K2&gt;=1,1-_xlfn.BINOM.DIST($K2-1,$K$2,$B$17,TRUE),1)</f>
        <v>6.29187748172646E-2</v>
      </c>
      <c r="N2" s="3">
        <f>_xlfn.NORM.DIST((LN($F$2/J2)+($B$4-0.5*$B$5^2)*$B$7)/($B$5*SQRT($B$7)),0,1,TRUE)</f>
        <v>4.2263736257952454E-2</v>
      </c>
      <c r="O2" s="2"/>
      <c r="P2" s="5">
        <f>B1</f>
        <v>200</v>
      </c>
      <c r="Q2" s="4">
        <f>P2*$B$12</f>
        <v>214.96734872441846</v>
      </c>
      <c r="R2" s="4">
        <f t="shared" ref="R2:AB2" si="3">Q2*$B$12</f>
        <v>231.05480508802867</v>
      </c>
      <c r="S2" s="4">
        <f t="shared" si="3"/>
        <v>248.34619429905396</v>
      </c>
      <c r="T2" s="4">
        <f t="shared" si="3"/>
        <v>266.93161477133458</v>
      </c>
      <c r="U2" s="4">
        <f t="shared" si="3"/>
        <v>286.90790759060803</v>
      </c>
      <c r="V2" s="4">
        <f t="shared" si="3"/>
        <v>308.37916111411732</v>
      </c>
      <c r="W2" s="4">
        <f t="shared" si="3"/>
        <v>331.45725333281041</v>
      </c>
      <c r="X2" s="4">
        <f t="shared" si="3"/>
        <v>356.2624348221608</v>
      </c>
      <c r="Y2" s="4">
        <f t="shared" si="3"/>
        <v>382.92395531912922</v>
      </c>
      <c r="Z2" s="4">
        <f t="shared" si="3"/>
        <v>411.5807371901044</v>
      </c>
      <c r="AA2" s="4">
        <f t="shared" si="3"/>
        <v>442.38209929899199</v>
      </c>
      <c r="AB2" s="4">
        <f t="shared" si="3"/>
        <v>475.4885350472336</v>
      </c>
      <c r="AC2" s="4">
        <v>12</v>
      </c>
      <c r="AD2" s="3">
        <f>_xlfn.BINOM.DIST(AC2,$AC$2,$B$18,FALSE)</f>
        <v>2.4678715523429714E-4</v>
      </c>
      <c r="AE2" s="3">
        <f>IF(AC2&gt;=1,1-_xlfn.BINOM.DIST(AC2-1,$AC$2,$B$18,TRUE),1)</f>
        <v>2.4678715523429595E-4</v>
      </c>
      <c r="AF2" s="3">
        <f>_xlfn.NORM.DIST((LN($F$2/AB2)+($B$4-0.5*$B$5^2)*$B$7)/($B$5*SQRT($B$7)),0,1,TRUE)</f>
        <v>7.1357850520144272E-4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25">
      <c r="E3" s="2"/>
      <c r="F3" s="4"/>
      <c r="G3" s="4">
        <f>F2*$B$14</f>
        <v>176.49938051691908</v>
      </c>
      <c r="H3" s="4">
        <f t="shared" ref="H3:J3" si="4">G3*$B$11</f>
        <v>200</v>
      </c>
      <c r="I3" s="4">
        <f t="shared" si="4"/>
        <v>226.62969061336526</v>
      </c>
      <c r="J3" s="4">
        <f t="shared" si="4"/>
        <v>256.8050833375483</v>
      </c>
      <c r="K3" s="4">
        <f>K2-1</f>
        <v>3</v>
      </c>
      <c r="L3" s="3">
        <f t="shared" ref="L3:L6" si="5">_xlfn.BINOM.DIST($K3,$K$2,$B$17,FALSE)</f>
        <v>0.25083545101963217</v>
      </c>
      <c r="M3" s="3">
        <f t="shared" ref="M3:M6" si="6">IF($K3&gt;=1,1-_xlfn.BINOM.DIST($K3-1,$K$2,$B$17,TRUE),1)</f>
        <v>0.31375422583689694</v>
      </c>
      <c r="N3" s="3">
        <f t="shared" ref="N3:N6" si="7">_xlfn.NORM.DIST((LN($F$2/J3)+($B$4-0.5*$B$5^2)*$B$7)/($B$5*SQRT($B$7)),0,1,TRUE)</f>
        <v>0.2342260152126949</v>
      </c>
      <c r="O3" s="2"/>
      <c r="P3" s="2"/>
      <c r="Q3" s="4">
        <f>P2*$B$15</f>
        <v>186.07477013301573</v>
      </c>
      <c r="R3" s="4">
        <f t="shared" ref="R3:AB3" si="8">Q3*$B$12</f>
        <v>199.99999999999997</v>
      </c>
      <c r="S3" s="4">
        <f t="shared" si="8"/>
        <v>214.96734872441843</v>
      </c>
      <c r="T3" s="4">
        <f t="shared" si="8"/>
        <v>231.05480508802864</v>
      </c>
      <c r="U3" s="4">
        <f t="shared" si="8"/>
        <v>248.34619429905393</v>
      </c>
      <c r="V3" s="4">
        <f t="shared" si="8"/>
        <v>266.93161477133452</v>
      </c>
      <c r="W3" s="4">
        <f t="shared" si="8"/>
        <v>286.90790759060798</v>
      </c>
      <c r="X3" s="4">
        <f t="shared" si="8"/>
        <v>308.37916111411727</v>
      </c>
      <c r="Y3" s="4">
        <f t="shared" si="8"/>
        <v>331.45725333281035</v>
      </c>
      <c r="Z3" s="4">
        <f t="shared" si="8"/>
        <v>356.26243482216074</v>
      </c>
      <c r="AA3" s="4">
        <f t="shared" si="8"/>
        <v>382.92395531912916</v>
      </c>
      <c r="AB3" s="4">
        <f t="shared" si="8"/>
        <v>411.58073719010434</v>
      </c>
      <c r="AC3" s="4">
        <f>AC2-1</f>
        <v>11</v>
      </c>
      <c r="AD3" s="3">
        <f t="shared" ref="AD3:AD14" si="9">_xlfn.BINOM.DIST(AC3,$AC$2,$B$18,FALSE)</f>
        <v>2.9561266065655637E-3</v>
      </c>
      <c r="AE3" s="3">
        <f t="shared" ref="AE3:AE14" si="10">IF(AC3&gt;=1,1-_xlfn.BINOM.DIST(AC3-1,$AC$2,$B$18,TRUE),1)</f>
        <v>3.2029137617999304E-3</v>
      </c>
      <c r="AF3" s="3">
        <f t="shared" ref="AF3:AF14" si="11">_xlfn.NORM.DIST((LN($F$2/AB3)+($B$4-0.5*$B$5^2)*$B$7)/($B$5*SQRT($B$7)),0,1,TRUE)</f>
        <v>4.503987244757598E-3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5">
      <c r="A4" t="s">
        <v>2</v>
      </c>
      <c r="B4" s="11">
        <v>0.1</v>
      </c>
      <c r="C4" t="s">
        <v>4</v>
      </c>
      <c r="E4" s="2"/>
      <c r="F4" s="4"/>
      <c r="G4" s="4"/>
      <c r="H4" s="4">
        <f>G3*$B$14</f>
        <v>155.76015661428096</v>
      </c>
      <c r="I4" s="4">
        <f t="shared" ref="I4:J4" si="12">H4*$B$11</f>
        <v>176.49938051691908</v>
      </c>
      <c r="J4" s="4">
        <f t="shared" si="12"/>
        <v>200</v>
      </c>
      <c r="K4" s="4">
        <f t="shared" ref="K4:K6" si="13">K3-1</f>
        <v>2</v>
      </c>
      <c r="L4" s="3">
        <f t="shared" si="5"/>
        <v>0.37499790605600242</v>
      </c>
      <c r="M4" s="3">
        <f t="shared" si="6"/>
        <v>0.6887521318928993</v>
      </c>
      <c r="N4" s="3">
        <f t="shared" si="7"/>
        <v>0.60834188084639484</v>
      </c>
      <c r="O4" s="2"/>
      <c r="P4" s="2"/>
      <c r="Q4" s="4"/>
      <c r="R4" s="4">
        <f>Q3*$B$15</f>
        <v>173.11910040027323</v>
      </c>
      <c r="S4" s="4">
        <f t="shared" ref="S4:AB4" si="14">R4*$B$12</f>
        <v>186.07477013301573</v>
      </c>
      <c r="T4" s="4">
        <f t="shared" si="14"/>
        <v>199.99999999999997</v>
      </c>
      <c r="U4" s="4">
        <f t="shared" si="14"/>
        <v>214.96734872441843</v>
      </c>
      <c r="V4" s="4">
        <f t="shared" si="14"/>
        <v>231.05480508802864</v>
      </c>
      <c r="W4" s="4">
        <f t="shared" si="14"/>
        <v>248.34619429905393</v>
      </c>
      <c r="X4" s="4">
        <f t="shared" si="14"/>
        <v>266.93161477133452</v>
      </c>
      <c r="Y4" s="4">
        <f t="shared" si="14"/>
        <v>286.90790759060798</v>
      </c>
      <c r="Z4" s="4">
        <f t="shared" si="14"/>
        <v>308.37916111411727</v>
      </c>
      <c r="AA4" s="4">
        <f t="shared" si="14"/>
        <v>331.45725333281035</v>
      </c>
      <c r="AB4" s="4">
        <f t="shared" si="14"/>
        <v>356.26243482216074</v>
      </c>
      <c r="AC4" s="4">
        <f t="shared" ref="AC4:AC14" si="15">AC3-1</f>
        <v>10</v>
      </c>
      <c r="AD4" s="3">
        <f t="shared" si="9"/>
        <v>1.6229492975305057E-2</v>
      </c>
      <c r="AE4" s="3">
        <f t="shared" si="10"/>
        <v>1.9432406737105001E-2</v>
      </c>
      <c r="AF4" s="3">
        <f t="shared" si="11"/>
        <v>2.0955586698118589E-2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25">
      <c r="A5" t="s">
        <v>3</v>
      </c>
      <c r="B5" s="11">
        <v>0.25</v>
      </c>
      <c r="C5" t="s">
        <v>4</v>
      </c>
      <c r="E5" s="2"/>
      <c r="F5" s="4"/>
      <c r="G5" s="4"/>
      <c r="H5" s="4"/>
      <c r="I5" s="4">
        <f>H4*$B$14</f>
        <v>137.45785575819443</v>
      </c>
      <c r="J5" s="4">
        <f>I5*$B$11</f>
        <v>155.76015661428096</v>
      </c>
      <c r="K5" s="4">
        <f t="shared" si="13"/>
        <v>1</v>
      </c>
      <c r="L5" s="3">
        <f t="shared" si="5"/>
        <v>0.2491645489764702</v>
      </c>
      <c r="M5" s="3">
        <f t="shared" si="6"/>
        <v>0.93791668086936963</v>
      </c>
      <c r="N5" s="3">
        <f t="shared" si="7"/>
        <v>0.89884537900441419</v>
      </c>
      <c r="O5" s="2"/>
      <c r="P5" s="2"/>
      <c r="Q5" s="4"/>
      <c r="R5" s="4"/>
      <c r="S5" s="4">
        <f>R4*$B$15</f>
        <v>161.06548406307658</v>
      </c>
      <c r="T5" s="4">
        <f t="shared" ref="T5:AB5" si="16">S5*$B$12</f>
        <v>173.11910040027323</v>
      </c>
      <c r="U5" s="4">
        <f t="shared" si="16"/>
        <v>186.07477013301573</v>
      </c>
      <c r="V5" s="4">
        <f t="shared" si="16"/>
        <v>199.99999999999997</v>
      </c>
      <c r="W5" s="4">
        <f t="shared" si="16"/>
        <v>214.96734872441843</v>
      </c>
      <c r="X5" s="4">
        <f t="shared" si="16"/>
        <v>231.05480508802864</v>
      </c>
      <c r="Y5" s="4">
        <f t="shared" si="16"/>
        <v>248.34619429905393</v>
      </c>
      <c r="Z5" s="4">
        <f t="shared" si="16"/>
        <v>266.93161477133452</v>
      </c>
      <c r="AA5" s="4">
        <f t="shared" si="16"/>
        <v>286.90790759060798</v>
      </c>
      <c r="AB5" s="4">
        <f t="shared" si="16"/>
        <v>308.37916111411727</v>
      </c>
      <c r="AC5" s="4">
        <f t="shared" si="15"/>
        <v>9</v>
      </c>
      <c r="AD5" s="3">
        <f t="shared" si="9"/>
        <v>5.4001140228869891E-2</v>
      </c>
      <c r="AE5" s="3">
        <f t="shared" si="10"/>
        <v>7.3433546965974816E-2</v>
      </c>
      <c r="AF5" s="3">
        <f t="shared" si="11"/>
        <v>7.2551177953033216E-2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x14ac:dyDescent="0.25">
      <c r="A6" t="s">
        <v>6</v>
      </c>
      <c r="B6" s="11">
        <v>3.2000000000000001E-2</v>
      </c>
      <c r="C6" t="s">
        <v>4</v>
      </c>
      <c r="E6" s="2"/>
      <c r="F6" s="4"/>
      <c r="G6" s="4"/>
      <c r="H6" s="4"/>
      <c r="I6" s="4"/>
      <c r="J6" s="4">
        <f>I5*$B$14</f>
        <v>121.30613194252666</v>
      </c>
      <c r="K6" s="4">
        <f t="shared" si="13"/>
        <v>0</v>
      </c>
      <c r="L6" s="3">
        <f t="shared" si="5"/>
        <v>6.2083319130630379E-2</v>
      </c>
      <c r="M6" s="3">
        <f t="shared" si="6"/>
        <v>1</v>
      </c>
      <c r="N6" s="3">
        <f t="shared" si="7"/>
        <v>0.98854703508388475</v>
      </c>
      <c r="O6" s="2"/>
      <c r="P6" s="2"/>
      <c r="Q6" s="4"/>
      <c r="R6" s="4"/>
      <c r="S6" s="4"/>
      <c r="T6" s="4">
        <f>S5*$B$15</f>
        <v>149.85111461699944</v>
      </c>
      <c r="U6" s="4">
        <f t="shared" ref="U6:AB6" si="17">T6*$B$12</f>
        <v>161.06548406307658</v>
      </c>
      <c r="V6" s="4">
        <f t="shared" si="17"/>
        <v>173.11910040027323</v>
      </c>
      <c r="W6" s="4">
        <f t="shared" si="17"/>
        <v>186.07477013301573</v>
      </c>
      <c r="X6" s="4">
        <f t="shared" si="17"/>
        <v>199.99999999999997</v>
      </c>
      <c r="Y6" s="4">
        <f t="shared" si="17"/>
        <v>214.96734872441843</v>
      </c>
      <c r="Z6" s="4">
        <f t="shared" si="17"/>
        <v>231.05480508802864</v>
      </c>
      <c r="AA6" s="4">
        <f t="shared" si="17"/>
        <v>248.34619429905393</v>
      </c>
      <c r="AB6" s="4">
        <f t="shared" si="17"/>
        <v>266.93161477133452</v>
      </c>
      <c r="AC6" s="4">
        <f t="shared" si="15"/>
        <v>8</v>
      </c>
      <c r="AD6" s="3">
        <f t="shared" si="9"/>
        <v>0.12128432641471347</v>
      </c>
      <c r="AE6" s="3">
        <f t="shared" si="10"/>
        <v>0.19471787338068824</v>
      </c>
      <c r="AF6" s="3">
        <f t="shared" si="11"/>
        <v>0.18951077882818454</v>
      </c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x14ac:dyDescent="0.25">
      <c r="A7" t="s">
        <v>23</v>
      </c>
      <c r="B7" s="4">
        <v>1</v>
      </c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4"/>
      <c r="R7" s="4"/>
      <c r="S7" s="4"/>
      <c r="T7" s="4"/>
      <c r="U7" s="4">
        <f>T6*$B$15</f>
        <v>139.41755853267182</v>
      </c>
      <c r="V7" s="4">
        <f t="shared" ref="V7:AB7" si="18">U7*$B$12</f>
        <v>149.85111461699941</v>
      </c>
      <c r="W7" s="4">
        <f t="shared" si="18"/>
        <v>161.06548406307655</v>
      </c>
      <c r="X7" s="4">
        <f t="shared" si="18"/>
        <v>173.1191004002732</v>
      </c>
      <c r="Y7" s="4">
        <f t="shared" si="18"/>
        <v>186.0747701330157</v>
      </c>
      <c r="Z7" s="4">
        <f t="shared" si="18"/>
        <v>199.99999999999994</v>
      </c>
      <c r="AA7" s="4">
        <f t="shared" si="18"/>
        <v>214.9673487244184</v>
      </c>
      <c r="AB7" s="4">
        <f t="shared" si="18"/>
        <v>231.05480508802859</v>
      </c>
      <c r="AC7" s="4">
        <f t="shared" si="15"/>
        <v>7</v>
      </c>
      <c r="AD7" s="3">
        <f t="shared" si="9"/>
        <v>0.19370636689392284</v>
      </c>
      <c r="AE7" s="3">
        <f t="shared" si="10"/>
        <v>0.3884242402746112</v>
      </c>
      <c r="AF7" s="3">
        <f t="shared" si="11"/>
        <v>0.3811925305341109</v>
      </c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x14ac:dyDescent="0.25">
      <c r="A8" t="s">
        <v>7</v>
      </c>
      <c r="B8" s="3">
        <f>B$7/4</f>
        <v>0.25</v>
      </c>
      <c r="C8" t="s">
        <v>8</v>
      </c>
      <c r="E8" s="2"/>
      <c r="F8" s="2"/>
      <c r="H8" s="2"/>
      <c r="I8" s="2"/>
      <c r="J8" s="2"/>
      <c r="K8" s="2"/>
      <c r="L8" s="2"/>
      <c r="M8" s="2"/>
      <c r="N8" s="2"/>
      <c r="O8" s="2"/>
      <c r="P8" s="2"/>
      <c r="Q8" s="4"/>
      <c r="R8" s="4"/>
      <c r="S8" s="4"/>
      <c r="T8" s="4"/>
      <c r="U8" s="4"/>
      <c r="V8" s="4">
        <f>U7*$B$15</f>
        <v>129.71045078236588</v>
      </c>
      <c r="W8" s="4">
        <f t="shared" ref="W8:AB8" si="19">V8*$B$12</f>
        <v>139.41755853267182</v>
      </c>
      <c r="X8" s="4">
        <f t="shared" si="19"/>
        <v>149.85111461699941</v>
      </c>
      <c r="Y8" s="4">
        <f t="shared" si="19"/>
        <v>161.06548406307655</v>
      </c>
      <c r="Z8" s="4">
        <f t="shared" si="19"/>
        <v>173.1191004002732</v>
      </c>
      <c r="AA8" s="4">
        <f t="shared" si="19"/>
        <v>186.0747701330157</v>
      </c>
      <c r="AB8" s="4">
        <f t="shared" si="19"/>
        <v>199.99999999999994</v>
      </c>
      <c r="AC8" s="4">
        <f t="shared" si="15"/>
        <v>6</v>
      </c>
      <c r="AD8" s="3">
        <f t="shared" si="9"/>
        <v>0.22558484385329117</v>
      </c>
      <c r="AE8" s="3">
        <f t="shared" si="10"/>
        <v>0.61400908412790223</v>
      </c>
      <c r="AF8" s="3">
        <f t="shared" si="11"/>
        <v>0.60834188084639518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x14ac:dyDescent="0.25">
      <c r="A9" t="s">
        <v>9</v>
      </c>
      <c r="B9" s="3">
        <f>B$7/12</f>
        <v>8.3333333333333329E-2</v>
      </c>
      <c r="C9" t="s">
        <v>8</v>
      </c>
      <c r="E9" s="2"/>
      <c r="F9" s="6">
        <f t="shared" ref="F9:H9" si="20">($B$17*G9+(1-$B$17)*G10)/EXP($B$6*$B$8)</f>
        <v>15.628784606170317</v>
      </c>
      <c r="G9" s="4">
        <f t="shared" si="20"/>
        <v>26.957045530396709</v>
      </c>
      <c r="H9" s="4">
        <f t="shared" si="20"/>
        <v>45.201279414323004</v>
      </c>
      <c r="I9" s="4">
        <f>($B$17*J9+(1-$B$17)*J10)/EXP($B$6*$B$8)</f>
        <v>72.751261659486957</v>
      </c>
      <c r="J9" s="4">
        <f>MAX(J2-$B$2,0)</f>
        <v>109.74425414002565</v>
      </c>
      <c r="K9" s="4"/>
      <c r="L9" s="4"/>
      <c r="M9" s="2"/>
      <c r="N9" s="2"/>
      <c r="O9" s="2"/>
      <c r="P9" s="2"/>
      <c r="Q9" s="4"/>
      <c r="R9" s="4"/>
      <c r="S9" s="4"/>
      <c r="T9" s="4"/>
      <c r="U9" s="4"/>
      <c r="V9" s="4"/>
      <c r="W9" s="4">
        <f>V8*$B$15</f>
        <v>120.67921156589291</v>
      </c>
      <c r="X9" s="4">
        <f t="shared" ref="X9:AB9" si="21">W9*$B$12</f>
        <v>129.71045078236588</v>
      </c>
      <c r="Y9" s="4">
        <f t="shared" si="21"/>
        <v>139.41755853267182</v>
      </c>
      <c r="Z9" s="4">
        <f t="shared" si="21"/>
        <v>149.85111461699941</v>
      </c>
      <c r="AA9" s="4">
        <f t="shared" si="21"/>
        <v>161.06548406307655</v>
      </c>
      <c r="AB9" s="4">
        <f t="shared" si="21"/>
        <v>173.1191004002732</v>
      </c>
      <c r="AC9" s="4">
        <f t="shared" si="15"/>
        <v>5</v>
      </c>
      <c r="AD9" s="3">
        <f t="shared" si="9"/>
        <v>0.19301113322286184</v>
      </c>
      <c r="AE9" s="3">
        <f t="shared" si="10"/>
        <v>0.80702021735076412</v>
      </c>
      <c r="AF9" s="3">
        <f t="shared" si="11"/>
        <v>0.80299014342675168</v>
      </c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x14ac:dyDescent="0.25">
      <c r="E10" s="2"/>
      <c r="F10" s="2"/>
      <c r="G10" s="4">
        <f t="shared" ref="G10:I10" si="22">($B$17*H10+(1-$B$17)*H11)/EXP($B$6*$B$8)</f>
        <v>4.5140870606539041</v>
      </c>
      <c r="H10" s="4">
        <f t="shared" si="22"/>
        <v>9.0855081512801039</v>
      </c>
      <c r="I10" s="4">
        <f t="shared" si="22"/>
        <v>18.286412569769901</v>
      </c>
      <c r="J10" s="4">
        <f t="shared" ref="J10:J13" si="23">MAX(J3-$B$2,0)</f>
        <v>36.805083337548297</v>
      </c>
      <c r="K10" s="4"/>
      <c r="L10" s="4"/>
      <c r="M10" s="2"/>
      <c r="N10" s="2"/>
      <c r="O10" s="2"/>
      <c r="P10" s="2"/>
      <c r="Q10" s="4"/>
      <c r="R10" s="4"/>
      <c r="S10" s="4"/>
      <c r="T10" s="4"/>
      <c r="U10" s="4"/>
      <c r="V10" s="4"/>
      <c r="W10" s="4"/>
      <c r="X10" s="4">
        <f>W9*$B$15</f>
        <v>112.27678275978549</v>
      </c>
      <c r="Y10" s="4">
        <f t="shared" ref="Y10:AB10" si="24">X10*$B$12</f>
        <v>120.6792115658929</v>
      </c>
      <c r="Z10" s="4">
        <f t="shared" si="24"/>
        <v>129.71045078236585</v>
      </c>
      <c r="AA10" s="4">
        <f t="shared" si="24"/>
        <v>139.41755853267179</v>
      </c>
      <c r="AB10" s="4">
        <f t="shared" si="24"/>
        <v>149.85111461699938</v>
      </c>
      <c r="AC10" s="4">
        <f t="shared" si="15"/>
        <v>4</v>
      </c>
      <c r="AD10" s="3">
        <f t="shared" si="9"/>
        <v>0.12041528292150327</v>
      </c>
      <c r="AE10" s="3">
        <f t="shared" si="10"/>
        <v>0.92743550027226729</v>
      </c>
      <c r="AF10" s="3">
        <f t="shared" si="11"/>
        <v>0.92359850715589775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x14ac:dyDescent="0.25">
      <c r="A11" t="s">
        <v>10</v>
      </c>
      <c r="B11" s="3">
        <f>EXP($B$5*SQRT(B8))</f>
        <v>1.1331484530668263</v>
      </c>
      <c r="E11" s="2"/>
      <c r="F11" s="2"/>
      <c r="G11" s="4"/>
      <c r="H11" s="4">
        <f t="shared" ref="H11:I11" si="25">($B$17*I11+(1-$B$17)*I12)/EXP($B$6*$B$8)</f>
        <v>0</v>
      </c>
      <c r="I11" s="4">
        <f t="shared" si="25"/>
        <v>0</v>
      </c>
      <c r="J11" s="4">
        <f t="shared" si="23"/>
        <v>0</v>
      </c>
      <c r="K11" s="4"/>
      <c r="L11" s="4"/>
      <c r="M11" s="2"/>
      <c r="N11" s="2"/>
      <c r="O11" s="2"/>
      <c r="P11" s="2"/>
      <c r="Q11" s="4"/>
      <c r="R11" s="4"/>
      <c r="S11" s="4"/>
      <c r="T11" s="4"/>
      <c r="U11" s="4"/>
      <c r="V11" s="4"/>
      <c r="W11" s="4"/>
      <c r="X11" s="4"/>
      <c r="Y11" s="4">
        <f>X10*$B$15</f>
        <v>104.45938271650814</v>
      </c>
      <c r="Z11" s="4">
        <f t="shared" ref="Z11:AB11" si="26">Y11*$B$12</f>
        <v>112.27678275978548</v>
      </c>
      <c r="AA11" s="4">
        <f t="shared" si="26"/>
        <v>120.67921156589289</v>
      </c>
      <c r="AB11" s="4">
        <f t="shared" si="26"/>
        <v>129.71045078236585</v>
      </c>
      <c r="AC11" s="4">
        <f t="shared" si="15"/>
        <v>3</v>
      </c>
      <c r="AD11" s="3">
        <f t="shared" si="9"/>
        <v>5.3421776339634651E-2</v>
      </c>
      <c r="AE11" s="3">
        <f t="shared" si="10"/>
        <v>0.98085727661190192</v>
      </c>
      <c r="AF11" s="3">
        <f t="shared" si="11"/>
        <v>0.97762787331771517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x14ac:dyDescent="0.25">
      <c r="A12" t="s">
        <v>11</v>
      </c>
      <c r="B12" s="3">
        <f t="shared" ref="B12" si="27">EXP($B$5*SQRT(B9))</f>
        <v>1.0748367436220922</v>
      </c>
      <c r="E12" s="2"/>
      <c r="F12" s="2"/>
      <c r="G12" s="4"/>
      <c r="H12" s="4"/>
      <c r="I12" s="4">
        <f t="shared" ref="I12" si="28">($B$17*J12+(1-$B$17)*J13)/EXP($B$6*$B$8)</f>
        <v>0</v>
      </c>
      <c r="J12" s="4">
        <f t="shared" si="23"/>
        <v>0</v>
      </c>
      <c r="K12" s="4"/>
      <c r="L12" s="4"/>
      <c r="M12" s="2"/>
      <c r="N12" s="2"/>
      <c r="O12" s="2"/>
      <c r="P12" s="2"/>
      <c r="Q12" s="4"/>
      <c r="R12" s="4"/>
      <c r="S12" s="4"/>
      <c r="T12" s="4"/>
      <c r="U12" s="4"/>
      <c r="V12" s="4"/>
      <c r="W12" s="4"/>
      <c r="X12" s="4"/>
      <c r="Y12" s="4"/>
      <c r="Z12" s="4">
        <f>Y11*$B$15</f>
        <v>97.186278136054852</v>
      </c>
      <c r="AA12" s="4">
        <f t="shared" ref="AA12:AB12" si="29">Z12*$B$12</f>
        <v>104.45938271650814</v>
      </c>
      <c r="AB12" s="4">
        <f t="shared" si="29"/>
        <v>112.27678275978548</v>
      </c>
      <c r="AC12" s="4">
        <f t="shared" si="15"/>
        <v>2</v>
      </c>
      <c r="AD12" s="3">
        <f t="shared" si="9"/>
        <v>1.599774654576934E-2</v>
      </c>
      <c r="AE12" s="3">
        <f t="shared" si="10"/>
        <v>0.99685502315767127</v>
      </c>
      <c r="AF12" s="3">
        <f t="shared" si="11"/>
        <v>0.99512258583607816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x14ac:dyDescent="0.25">
      <c r="B13" s="3"/>
      <c r="E13" s="2"/>
      <c r="F13" s="2"/>
      <c r="G13" s="4"/>
      <c r="H13" s="4"/>
      <c r="I13" s="4"/>
      <c r="J13" s="4">
        <f t="shared" si="23"/>
        <v>0</v>
      </c>
      <c r="K13" s="4"/>
      <c r="L13" s="4"/>
      <c r="M13" s="2"/>
      <c r="N13" s="2"/>
      <c r="O13" s="2"/>
      <c r="P13" s="2"/>
      <c r="Q13" s="4"/>
      <c r="R13" s="4"/>
      <c r="S13" s="4"/>
      <c r="T13" s="4"/>
      <c r="U13" s="4"/>
      <c r="V13" s="4"/>
      <c r="W13" s="4"/>
      <c r="X13" s="4"/>
      <c r="Y13" s="4"/>
      <c r="Z13" s="4"/>
      <c r="AA13" s="4">
        <f>Z12*$B$15</f>
        <v>90.419571821248695</v>
      </c>
      <c r="AB13" s="4">
        <f>AA13*$B$12</f>
        <v>97.186278136054838</v>
      </c>
      <c r="AC13" s="4">
        <f t="shared" si="15"/>
        <v>1</v>
      </c>
      <c r="AD13" s="3">
        <f t="shared" si="9"/>
        <v>2.9034567081452655E-3</v>
      </c>
      <c r="AE13" s="3">
        <f t="shared" si="10"/>
        <v>0.99975847986581656</v>
      </c>
      <c r="AF13" s="3">
        <f t="shared" si="11"/>
        <v>0.99921588293312025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x14ac:dyDescent="0.25">
      <c r="A14" t="s">
        <v>12</v>
      </c>
      <c r="B14" s="3">
        <f>1/B11</f>
        <v>0.88249690258459534</v>
      </c>
      <c r="E14" s="2"/>
      <c r="F14" s="2"/>
      <c r="H14" s="2"/>
      <c r="I14" s="2"/>
      <c r="J14" s="2"/>
      <c r="K14" s="2"/>
      <c r="L14" s="2"/>
      <c r="M14" s="2"/>
      <c r="N14" s="2"/>
      <c r="O14" s="2"/>
      <c r="P14" s="2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>
        <f>AA13*$B$15</f>
        <v>84.124005210822787</v>
      </c>
      <c r="AC14" s="4">
        <f t="shared" si="15"/>
        <v>0</v>
      </c>
      <c r="AD14" s="3">
        <f t="shared" si="9"/>
        <v>2.4152013418345596E-4</v>
      </c>
      <c r="AE14" s="3">
        <f t="shared" si="10"/>
        <v>1</v>
      </c>
      <c r="AF14" s="3">
        <f t="shared" si="11"/>
        <v>0.99990766046501645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x14ac:dyDescent="0.25">
      <c r="A15" t="s">
        <v>13</v>
      </c>
      <c r="B15" s="3">
        <f>1/B12</f>
        <v>0.93037385066507872</v>
      </c>
      <c r="E15" s="2"/>
      <c r="F15" s="2"/>
      <c r="H15" s="2"/>
      <c r="I15" s="2"/>
      <c r="J15" s="2"/>
      <c r="K15" s="2"/>
      <c r="L15" s="2"/>
      <c r="M15" s="2"/>
      <c r="N15" s="2"/>
      <c r="O15" s="2"/>
      <c r="P15" s="2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x14ac:dyDescent="0.25">
      <c r="B16" s="3"/>
      <c r="E16" s="2"/>
      <c r="F16" s="2"/>
      <c r="H16" s="2"/>
      <c r="I16" s="2"/>
      <c r="J16" s="2"/>
      <c r="K16" s="2"/>
      <c r="L16" s="2"/>
      <c r="M16" s="2"/>
      <c r="N16" s="2"/>
      <c r="O16" s="2"/>
      <c r="P16" s="2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x14ac:dyDescent="0.25">
      <c r="A17" t="s">
        <v>14</v>
      </c>
      <c r="B17" s="3">
        <f>(EXP($B$6*B8)-B14)/(B11-B14)</f>
        <v>0.50083545335410762</v>
      </c>
      <c r="E17" s="2"/>
      <c r="F17" s="2"/>
      <c r="H17" s="2"/>
      <c r="I17" s="2"/>
      <c r="J17" s="2"/>
      <c r="K17" s="2"/>
      <c r="L17" s="2"/>
      <c r="M17" s="2"/>
      <c r="N17" s="2"/>
      <c r="O17" s="2"/>
      <c r="P17" s="2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x14ac:dyDescent="0.25">
      <c r="A18" t="s">
        <v>15</v>
      </c>
      <c r="B18" s="3">
        <f>(EXP($B$6*B9)-B15)/(B12-B15)</f>
        <v>0.50044944580514472</v>
      </c>
      <c r="E18" s="2"/>
      <c r="F18" s="2"/>
      <c r="H18" s="2"/>
      <c r="I18" s="2"/>
      <c r="J18" s="2"/>
      <c r="K18" s="2"/>
      <c r="L18" s="2"/>
      <c r="M18" s="2"/>
      <c r="N18" s="2"/>
      <c r="O18" s="2"/>
      <c r="P18" s="2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x14ac:dyDescent="0.25">
      <c r="E19" s="2"/>
      <c r="F19" s="2"/>
      <c r="H19" s="2"/>
      <c r="I19" s="2"/>
      <c r="J19" s="2"/>
      <c r="K19" s="2"/>
      <c r="L19" s="2"/>
      <c r="M19" s="2"/>
      <c r="N19" s="2"/>
      <c r="O19" s="2"/>
      <c r="P19" s="7">
        <f t="shared" ref="P19:Z19" si="30">($B$18*Q19+(1-$B$18)*Q20)/EXP($B$6*$B$9)</f>
        <v>14.960413979135261</v>
      </c>
      <c r="Q19" s="4">
        <f t="shared" si="30"/>
        <v>21.438715391212327</v>
      </c>
      <c r="R19" s="4">
        <f t="shared" si="30"/>
        <v>30.099779883425146</v>
      </c>
      <c r="S19" s="4">
        <f t="shared" si="30"/>
        <v>41.328903230431408</v>
      </c>
      <c r="T19" s="4">
        <f t="shared" si="30"/>
        <v>55.401574394360892</v>
      </c>
      <c r="U19" s="4">
        <f t="shared" si="30"/>
        <v>72.40241613717869</v>
      </c>
      <c r="V19" s="4">
        <f t="shared" si="30"/>
        <v>92.177035542808895</v>
      </c>
      <c r="W19" s="4">
        <f t="shared" si="30"/>
        <v>114.37111773522723</v>
      </c>
      <c r="X19" s="4">
        <f t="shared" si="30"/>
        <v>138.59663031461162</v>
      </c>
      <c r="Y19" s="4">
        <f t="shared" si="30"/>
        <v>164.67693405497579</v>
      </c>
      <c r="Z19" s="4">
        <f t="shared" si="30"/>
        <v>192.75094718960918</v>
      </c>
      <c r="AA19" s="4">
        <f>($B$18*AB19+(1-$B$18)*AB20)/EXP($B$6*$B$9)</f>
        <v>222.96798443828175</v>
      </c>
      <c r="AB19" s="4">
        <f>MAX(AB2-$B$2,0)</f>
        <v>255.4885350472336</v>
      </c>
      <c r="AC19" s="4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x14ac:dyDescent="0.25">
      <c r="A20" t="s">
        <v>16</v>
      </c>
      <c r="B20" s="3">
        <f>0.5+(($B$4-0.5*$B$5^2)/(2*$B$5))*SQRT(B8)</f>
        <v>0.56874999999999998</v>
      </c>
      <c r="E20" s="2"/>
      <c r="F20" s="2"/>
      <c r="H20" s="2"/>
      <c r="I20" s="2"/>
      <c r="J20" s="2"/>
      <c r="K20" s="2"/>
      <c r="L20" s="2"/>
      <c r="M20" s="2"/>
      <c r="N20" s="2"/>
      <c r="O20" s="2"/>
      <c r="P20" s="2"/>
      <c r="Q20" s="4">
        <f t="shared" ref="Q20:AA20" si="31">($B$18*R20+(1-$B$18)*R21)/EXP($B$6*$B$9)</f>
        <v>8.5504227432751385</v>
      </c>
      <c r="R20" s="4">
        <f t="shared" si="31"/>
        <v>12.876661586570711</v>
      </c>
      <c r="S20" s="4">
        <f t="shared" si="31"/>
        <v>19.011341860385908</v>
      </c>
      <c r="T20" s="4">
        <f t="shared" si="31"/>
        <v>27.451823242747736</v>
      </c>
      <c r="U20" s="4">
        <f t="shared" si="31"/>
        <v>38.66627689963299</v>
      </c>
      <c r="V20" s="4">
        <f t="shared" si="31"/>
        <v>52.979223686313148</v>
      </c>
      <c r="W20" s="4">
        <f t="shared" si="31"/>
        <v>70.435727116777301</v>
      </c>
      <c r="X20" s="4">
        <f t="shared" si="31"/>
        <v>90.713356606568112</v>
      </c>
      <c r="Y20" s="4">
        <f t="shared" si="31"/>
        <v>113.21023206865698</v>
      </c>
      <c r="Z20" s="4">
        <f t="shared" si="31"/>
        <v>137.4326448216656</v>
      </c>
      <c r="AA20" s="4">
        <f t="shared" si="31"/>
        <v>163.50984045841895</v>
      </c>
      <c r="AB20" s="4">
        <f t="shared" ref="AB20:AB24" si="32">MAX(AB3-$B$2,0)</f>
        <v>191.58073719010434</v>
      </c>
      <c r="AC20" s="4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x14ac:dyDescent="0.25">
      <c r="A21" t="s">
        <v>17</v>
      </c>
      <c r="B21" s="3">
        <f>0.5+(($B$4-0.5*$B$5^2)/(2*$B$5))*SQRT(B9)</f>
        <v>0.53969283100678678</v>
      </c>
      <c r="E21" s="2"/>
      <c r="F21" s="2"/>
      <c r="H21" s="2"/>
      <c r="I21" s="2"/>
      <c r="J21" s="2"/>
      <c r="K21" s="2"/>
      <c r="L21" s="2"/>
      <c r="M21" s="2"/>
      <c r="N21" s="2"/>
      <c r="O21" s="2"/>
      <c r="P21" s="2"/>
      <c r="Q21" s="4"/>
      <c r="R21" s="4">
        <f t="shared" ref="R21:AA21" si="33">($B$18*S21+(1-$B$18)*S22)/EXP($B$6*$B$9)</f>
        <v>4.26210345767129</v>
      </c>
      <c r="S21" s="4">
        <f t="shared" si="33"/>
        <v>6.7997716119912708</v>
      </c>
      <c r="T21" s="4">
        <f t="shared" si="33"/>
        <v>10.65729315109628</v>
      </c>
      <c r="U21" s="4">
        <f t="shared" si="33"/>
        <v>16.36392730148394</v>
      </c>
      <c r="V21" s="4">
        <f t="shared" si="33"/>
        <v>24.534256518839108</v>
      </c>
      <c r="W21" s="4">
        <f t="shared" si="33"/>
        <v>35.774496502358325</v>
      </c>
      <c r="X21" s="4">
        <f t="shared" si="33"/>
        <v>50.498107009609612</v>
      </c>
      <c r="Y21" s="4">
        <f t="shared" si="33"/>
        <v>68.660886326454616</v>
      </c>
      <c r="Z21" s="4">
        <f t="shared" si="33"/>
        <v>89.549371113622101</v>
      </c>
      <c r="AA21" s="4">
        <f t="shared" si="33"/>
        <v>112.04313847210011</v>
      </c>
      <c r="AB21" s="4">
        <f t="shared" si="32"/>
        <v>136.26243482216074</v>
      </c>
      <c r="AC21" s="4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x14ac:dyDescent="0.25">
      <c r="E22" s="2"/>
      <c r="F22" s="2"/>
      <c r="H22" s="2"/>
      <c r="I22" s="2"/>
      <c r="J22" s="2"/>
      <c r="K22" s="2"/>
      <c r="L22" s="2"/>
      <c r="M22" s="2"/>
      <c r="N22" s="2"/>
      <c r="O22" s="2"/>
      <c r="P22" s="2"/>
      <c r="Q22" s="4"/>
      <c r="R22" s="4"/>
      <c r="S22" s="4">
        <f t="shared" ref="S22:AA22" si="34">($B$18*T22+(1-$B$18)*T23)/EXP($B$6*$B$9)</f>
        <v>1.7426510538001705</v>
      </c>
      <c r="T22" s="4">
        <f t="shared" si="34"/>
        <v>2.971655363097597</v>
      </c>
      <c r="U22" s="4">
        <f t="shared" si="34"/>
        <v>4.9973564349300519</v>
      </c>
      <c r="V22" s="4">
        <f t="shared" si="34"/>
        <v>8.2663657617618096</v>
      </c>
      <c r="W22" s="4">
        <f t="shared" si="34"/>
        <v>13.40493271121098</v>
      </c>
      <c r="X22" s="4">
        <f t="shared" si="34"/>
        <v>21.215616147122169</v>
      </c>
      <c r="Y22" s="4">
        <f t="shared" si="34"/>
        <v>32.572570863210466</v>
      </c>
      <c r="Z22" s="4">
        <f t="shared" si="34"/>
        <v>48.10182477083935</v>
      </c>
      <c r="AA22" s="4">
        <f t="shared" si="34"/>
        <v>67.493792729897777</v>
      </c>
      <c r="AB22" s="4">
        <f t="shared" si="32"/>
        <v>88.379161114117267</v>
      </c>
      <c r="AC22" s="4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x14ac:dyDescent="0.25">
      <c r="E23" s="2"/>
      <c r="F23" s="2"/>
      <c r="H23" s="2"/>
      <c r="I23" s="2"/>
      <c r="J23" s="2"/>
      <c r="K23" s="2"/>
      <c r="L23" s="2"/>
      <c r="M23" s="2"/>
      <c r="N23" s="2"/>
      <c r="O23" s="2"/>
      <c r="P23" s="2"/>
      <c r="Q23" s="4"/>
      <c r="R23" s="4"/>
      <c r="S23" s="4"/>
      <c r="T23" s="4">
        <f t="shared" ref="T23:AA23" si="35">($B$18*U23+(1-$B$18)*U24)/EXP($B$6*$B$9)</f>
        <v>0.52075018856523725</v>
      </c>
      <c r="U23" s="4">
        <f t="shared" si="35"/>
        <v>0.95819350076201015</v>
      </c>
      <c r="V23" s="4">
        <f t="shared" si="35"/>
        <v>1.749176997814837</v>
      </c>
      <c r="W23" s="4">
        <f t="shared" si="35"/>
        <v>3.1627383090882111</v>
      </c>
      <c r="X23" s="4">
        <f t="shared" si="35"/>
        <v>5.6518475174687772</v>
      </c>
      <c r="Y23" s="4">
        <f t="shared" si="35"/>
        <v>9.9516286094065478</v>
      </c>
      <c r="Z23" s="4">
        <f t="shared" si="35"/>
        <v>17.189482321435275</v>
      </c>
      <c r="AA23" s="4">
        <f t="shared" si="35"/>
        <v>28.932079438343681</v>
      </c>
      <c r="AB23" s="4">
        <f t="shared" si="32"/>
        <v>46.931614771334523</v>
      </c>
      <c r="AC23" s="4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x14ac:dyDescent="0.25">
      <c r="A24" s="8" t="s">
        <v>24</v>
      </c>
      <c r="E24" s="2"/>
      <c r="F24" s="2"/>
      <c r="H24" s="2"/>
      <c r="I24" s="2"/>
      <c r="J24" s="2"/>
      <c r="K24" s="2"/>
      <c r="L24" s="2"/>
      <c r="M24" s="2"/>
      <c r="N24" s="2"/>
      <c r="O24" s="2"/>
      <c r="P24" s="2"/>
      <c r="Q24" s="4"/>
      <c r="R24" s="4"/>
      <c r="S24" s="4"/>
      <c r="T24" s="4"/>
      <c r="U24" s="4">
        <f t="shared" ref="U24:AA24" si="36">($B$18*V24+(1-$B$18)*V26)/EXP($B$6*$B$9)</f>
        <v>8.5303283420710252E-2</v>
      </c>
      <c r="V24" s="4">
        <f t="shared" si="36"/>
        <v>0.1709084966132853</v>
      </c>
      <c r="W24" s="4">
        <f t="shared" si="36"/>
        <v>0.34242192144648104</v>
      </c>
      <c r="X24" s="4">
        <f t="shared" si="36"/>
        <v>0.68605584046770884</v>
      </c>
      <c r="Y24" s="4">
        <f t="shared" si="36"/>
        <v>1.3745399659332802</v>
      </c>
      <c r="Z24" s="4">
        <f t="shared" si="36"/>
        <v>2.7539450967428811</v>
      </c>
      <c r="AA24" s="4">
        <f t="shared" si="36"/>
        <v>5.5176377434210542</v>
      </c>
      <c r="AB24" s="4">
        <f t="shared" si="32"/>
        <v>11.054805088028587</v>
      </c>
      <c r="AC24" s="4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x14ac:dyDescent="0.25">
      <c r="A25" s="9" t="s">
        <v>27</v>
      </c>
      <c r="D25" s="9" t="s">
        <v>28</v>
      </c>
      <c r="E25" s="2"/>
      <c r="F25" s="2" t="s">
        <v>33</v>
      </c>
      <c r="G25" s="2">
        <f>0.1</f>
        <v>0.1</v>
      </c>
      <c r="H25" s="2"/>
      <c r="I25" s="2"/>
      <c r="J25" s="2"/>
      <c r="K25" s="2"/>
      <c r="L25" s="2"/>
      <c r="M25" s="2"/>
      <c r="N25" s="2"/>
      <c r="O25" s="2"/>
      <c r="P25" s="2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x14ac:dyDescent="0.25">
      <c r="A26" s="2" t="s">
        <v>25</v>
      </c>
      <c r="B26" s="2" t="s">
        <v>26</v>
      </c>
      <c r="C26" s="9" t="s">
        <v>34</v>
      </c>
      <c r="D26" t="s">
        <v>29</v>
      </c>
      <c r="E26" s="2" t="s">
        <v>30</v>
      </c>
      <c r="F26" s="2"/>
      <c r="H26" s="2"/>
      <c r="I26" s="2"/>
      <c r="J26" s="2"/>
      <c r="K26" s="2"/>
      <c r="L26" s="2"/>
      <c r="M26" s="2"/>
      <c r="N26" s="2"/>
      <c r="O26" s="2"/>
      <c r="P26" s="2"/>
      <c r="Q26" s="4"/>
      <c r="R26" s="4"/>
      <c r="S26" s="4"/>
      <c r="T26" s="4"/>
      <c r="U26" s="4"/>
      <c r="V26" s="4">
        <f t="shared" ref="V26:AA26" si="37">($B$18*W26+(1-$B$18)*W27)/EXP($B$6*$B$9)</f>
        <v>0</v>
      </c>
      <c r="W26" s="4">
        <f t="shared" si="37"/>
        <v>0</v>
      </c>
      <c r="X26" s="4">
        <f t="shared" si="37"/>
        <v>0</v>
      </c>
      <c r="Y26" s="4">
        <f t="shared" si="37"/>
        <v>0</v>
      </c>
      <c r="Z26" s="4">
        <f t="shared" si="37"/>
        <v>0</v>
      </c>
      <c r="AA26" s="4">
        <f t="shared" si="37"/>
        <v>0</v>
      </c>
      <c r="AB26" s="4">
        <f>MAX(AB8-$B$2,0)</f>
        <v>0</v>
      </c>
      <c r="AC26" s="4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x14ac:dyDescent="0.25">
      <c r="A27">
        <v>200</v>
      </c>
      <c r="B27" s="2">
        <v>250</v>
      </c>
      <c r="C27">
        <f>MAX(C31,C34,0)</f>
        <v>630</v>
      </c>
      <c r="D27">
        <v>6</v>
      </c>
      <c r="E27" s="2">
        <v>160</v>
      </c>
      <c r="F27" s="2" t="s">
        <v>37</v>
      </c>
      <c r="G27" s="2">
        <f>B27/A27-1</f>
        <v>0.25</v>
      </c>
      <c r="H27" s="2"/>
      <c r="I27" s="2"/>
      <c r="J27" s="2"/>
      <c r="K27" s="2"/>
      <c r="L27" s="2"/>
      <c r="M27" s="2"/>
      <c r="N27" s="2"/>
      <c r="O27" s="2"/>
      <c r="P27" s="2"/>
      <c r="Q27" s="4"/>
      <c r="R27" s="4"/>
      <c r="S27" s="4"/>
      <c r="T27" s="4"/>
      <c r="U27" s="4"/>
      <c r="V27" s="4"/>
      <c r="W27" s="4">
        <f t="shared" ref="W27:AA27" si="38">($B$18*X27+(1-$B$18)*X28)/EXP($B$6*$B$9)</f>
        <v>0</v>
      </c>
      <c r="X27" s="4">
        <f t="shared" si="38"/>
        <v>0</v>
      </c>
      <c r="Y27" s="4">
        <f t="shared" si="38"/>
        <v>0</v>
      </c>
      <c r="Z27" s="4">
        <f t="shared" si="38"/>
        <v>0</v>
      </c>
      <c r="AA27" s="4">
        <f t="shared" si="38"/>
        <v>0</v>
      </c>
      <c r="AB27" s="4">
        <f>MAX(AB9-$B$2,0)</f>
        <v>0</v>
      </c>
      <c r="AC27" s="4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x14ac:dyDescent="0.25">
      <c r="B28" s="2">
        <v>180</v>
      </c>
      <c r="C28">
        <f>MAX(C32,C35,0)</f>
        <v>120</v>
      </c>
      <c r="D28">
        <v>9</v>
      </c>
      <c r="E28" s="2">
        <v>180</v>
      </c>
      <c r="F28" s="2" t="s">
        <v>38</v>
      </c>
      <c r="G28" s="2">
        <f>B28/A27-1</f>
        <v>-9.9999999999999978E-2</v>
      </c>
      <c r="H28" s="2"/>
      <c r="I28" s="2"/>
      <c r="J28" s="2"/>
      <c r="K28" s="2"/>
      <c r="L28" s="2"/>
      <c r="M28" s="2"/>
      <c r="N28" s="2"/>
      <c r="O28" s="2"/>
      <c r="P28" s="2"/>
      <c r="Q28" s="4"/>
      <c r="R28" s="4"/>
      <c r="S28" s="4"/>
      <c r="T28" s="4"/>
      <c r="U28" s="4"/>
      <c r="V28" s="4"/>
      <c r="W28" s="4"/>
      <c r="X28" s="4">
        <f t="shared" ref="X28:AA28" si="39">($B$18*Y28+(1-$B$18)*Y30)/EXP($B$6*$B$9)</f>
        <v>0</v>
      </c>
      <c r="Y28" s="4">
        <f t="shared" si="39"/>
        <v>0</v>
      </c>
      <c r="Z28" s="4">
        <f t="shared" si="39"/>
        <v>0</v>
      </c>
      <c r="AA28" s="4">
        <f t="shared" si="39"/>
        <v>0</v>
      </c>
      <c r="AB28" s="4">
        <f>MAX(AB10-$B$2,0)</f>
        <v>0</v>
      </c>
      <c r="AC28" s="4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x14ac:dyDescent="0.25">
      <c r="E29" s="2"/>
      <c r="F29" s="2"/>
      <c r="H29" s="2"/>
      <c r="I29" s="2"/>
      <c r="J29" s="2"/>
      <c r="K29" s="2"/>
      <c r="L29" s="2"/>
      <c r="M29" s="2"/>
      <c r="N29" s="2"/>
      <c r="O29" s="2"/>
      <c r="P29" s="2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x14ac:dyDescent="0.25">
      <c r="A30" s="9" t="s">
        <v>32</v>
      </c>
      <c r="B30" s="2" t="s">
        <v>25</v>
      </c>
      <c r="C30" t="s">
        <v>26</v>
      </c>
      <c r="E30" s="2"/>
      <c r="F30" s="2" t="s">
        <v>36</v>
      </c>
      <c r="G30" s="11">
        <f>(G25-G28)/(G27-G28)</f>
        <v>0.5714285714285714</v>
      </c>
      <c r="H30" s="2"/>
      <c r="I30" s="2"/>
      <c r="J30" s="2"/>
      <c r="K30" s="2"/>
      <c r="L30" s="2"/>
      <c r="M30" s="2"/>
      <c r="N30" s="2"/>
      <c r="O30" s="2"/>
      <c r="P30" s="2"/>
      <c r="Q30" s="4"/>
      <c r="R30" s="4"/>
      <c r="S30" s="4"/>
      <c r="T30" s="4"/>
      <c r="U30" s="4"/>
      <c r="V30" s="4"/>
      <c r="W30" s="4"/>
      <c r="X30" s="4"/>
      <c r="Y30" s="4">
        <f t="shared" ref="Y30:AA30" si="40">($B$18*Z30+(1-$B$18)*Z31)/EXP($B$6*$B$9)</f>
        <v>0</v>
      </c>
      <c r="Z30" s="4">
        <f t="shared" si="40"/>
        <v>0</v>
      </c>
      <c r="AA30" s="4">
        <f t="shared" si="40"/>
        <v>0</v>
      </c>
      <c r="AB30" s="4">
        <f>MAX(AB11-$B$2,0)</f>
        <v>0</v>
      </c>
      <c r="AC30" s="4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x14ac:dyDescent="0.25">
      <c r="A31" t="s">
        <v>31</v>
      </c>
      <c r="B31" s="2">
        <f>6*(A27-E27)</f>
        <v>240</v>
      </c>
      <c r="C31">
        <f>6*(B27-E27)</f>
        <v>540</v>
      </c>
      <c r="E31" s="2"/>
      <c r="F31" s="2" t="s">
        <v>39</v>
      </c>
      <c r="G31" s="11">
        <f>1-G30</f>
        <v>0.4285714285714286</v>
      </c>
      <c r="H31" s="2"/>
      <c r="I31" s="2"/>
      <c r="J31" s="2"/>
      <c r="K31" s="2"/>
      <c r="L31" s="2"/>
      <c r="M31" s="2"/>
      <c r="N31" s="2"/>
      <c r="O31" s="2"/>
      <c r="P31" s="2"/>
      <c r="Q31" s="4"/>
      <c r="R31" s="4"/>
      <c r="S31" s="4"/>
      <c r="T31" s="4"/>
      <c r="U31" s="4"/>
      <c r="V31" s="4"/>
      <c r="W31" s="4"/>
      <c r="X31" s="4"/>
      <c r="Y31" s="4"/>
      <c r="Z31" s="4">
        <f t="shared" ref="Z31:AA31" si="41">($B$18*AA31+(1-$B$18)*AA32)/EXP($B$6*$B$9)</f>
        <v>0</v>
      </c>
      <c r="AA31" s="4">
        <f t="shared" si="41"/>
        <v>0</v>
      </c>
      <c r="AB31" s="4">
        <f>MAX(AB12-$B$2,0)</f>
        <v>0</v>
      </c>
      <c r="AC31" s="4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x14ac:dyDescent="0.25">
      <c r="C32">
        <f>6*(B28-E27)</f>
        <v>120</v>
      </c>
      <c r="E32" s="2"/>
      <c r="F32" s="2"/>
      <c r="H32" s="2"/>
      <c r="I32" s="2"/>
      <c r="J32" s="2"/>
      <c r="K32" s="2"/>
      <c r="L32" s="2"/>
      <c r="M32" s="2"/>
      <c r="N32" s="2"/>
      <c r="O32" s="2"/>
      <c r="P32" s="2"/>
      <c r="Q32" s="4"/>
      <c r="R32" s="4"/>
      <c r="S32" s="4"/>
      <c r="T32" s="4"/>
      <c r="U32" s="4"/>
      <c r="V32" s="4"/>
      <c r="W32" s="4"/>
      <c r="X32" s="4"/>
      <c r="Y32" s="4"/>
      <c r="Z32" s="4"/>
      <c r="AA32" s="4">
        <f t="shared" ref="AA32" si="42">($B$18*AB32+(1-$B$18)*AB33)/EXP($B$6*$B$9)</f>
        <v>0</v>
      </c>
      <c r="AB32" s="4">
        <f>MAX(AB13-$B$2,0)</f>
        <v>0</v>
      </c>
      <c r="AC32" s="4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x14ac:dyDescent="0.25">
      <c r="E33" s="2"/>
      <c r="F33" s="2" t="s">
        <v>40</v>
      </c>
      <c r="G33" s="10">
        <f>(G30*C27+G31*C28)/(1+G25)</f>
        <v>374.02597402597399</v>
      </c>
      <c r="H33" s="2"/>
      <c r="I33" s="2"/>
      <c r="J33" s="2"/>
      <c r="K33" s="2"/>
      <c r="L33" s="2"/>
      <c r="M33" s="2"/>
      <c r="N33" s="2"/>
      <c r="O33" s="2"/>
      <c r="P33" s="2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>
        <f>MAX(AB14-$B$2,0)</f>
        <v>0</v>
      </c>
      <c r="AC33" s="4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x14ac:dyDescent="0.25">
      <c r="A34" t="s">
        <v>35</v>
      </c>
      <c r="B34" s="2">
        <f>9*(A27-E28)</f>
        <v>180</v>
      </c>
      <c r="C34">
        <f>9*(B27-E28)</f>
        <v>630</v>
      </c>
      <c r="E34" s="2"/>
      <c r="F34" s="2"/>
      <c r="G34" s="10"/>
      <c r="H34" s="2"/>
      <c r="I34" s="2"/>
      <c r="J34" s="2"/>
      <c r="K34" s="2"/>
      <c r="L34" s="2"/>
      <c r="M34" s="2"/>
      <c r="N34" s="2"/>
      <c r="O34" s="2"/>
      <c r="P34" s="2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x14ac:dyDescent="0.25">
      <c r="C35">
        <f>9*(B28-E28)</f>
        <v>0</v>
      </c>
      <c r="E35" s="2"/>
      <c r="F35" s="2" t="s">
        <v>42</v>
      </c>
      <c r="G35" s="10">
        <v>0.7</v>
      </c>
      <c r="H35" s="2"/>
      <c r="I35" s="2"/>
      <c r="J35" s="2"/>
      <c r="K35" s="2"/>
      <c r="L35" s="2"/>
      <c r="M35" s="2"/>
      <c r="N35" s="2"/>
      <c r="O35" s="2"/>
      <c r="P35" s="2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x14ac:dyDescent="0.25">
      <c r="F36" s="2" t="s">
        <v>41</v>
      </c>
      <c r="G36" s="11">
        <f>(G35*B27+(1-G35)*B28)/A27-1</f>
        <v>0.14500000000000002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50" x14ac:dyDescent="0.25">
      <c r="A37" t="s">
        <v>44</v>
      </c>
      <c r="B37" s="10">
        <f>(C27-C28)/(B27-B28)</f>
        <v>7.2857142857142856</v>
      </c>
      <c r="F37" s="2" t="s">
        <v>34</v>
      </c>
      <c r="G37" s="10">
        <f>(G35*C27+(1-G35)*C28)/(1+G36)</f>
        <v>416.5938864628821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50" x14ac:dyDescent="0.25">
      <c r="A38" t="s">
        <v>45</v>
      </c>
      <c r="B38" s="10">
        <f>B37*A27/G33</f>
        <v>3.8958333333333335</v>
      </c>
      <c r="F38" s="2" t="s">
        <v>43</v>
      </c>
      <c r="G38" s="11">
        <f>(G35*C27+(1-G35)*C28)/G33-1</f>
        <v>0.27531250000000007</v>
      </c>
    </row>
    <row r="39" spans="1:50" x14ac:dyDescent="0.25">
      <c r="A39" t="s">
        <v>46</v>
      </c>
      <c r="B39" s="10">
        <f>(C27-B37*B27)/(1+G25)</f>
        <v>-1083.1168831168829</v>
      </c>
      <c r="F39" s="2" t="s">
        <v>47</v>
      </c>
      <c r="G39" s="11">
        <f>G37/G33-1</f>
        <v>0.11381004366812242</v>
      </c>
    </row>
    <row r="40" spans="1:50" x14ac:dyDescent="0.25">
      <c r="A40" t="s">
        <v>40</v>
      </c>
      <c r="B40" s="10">
        <f>B37*A27+B39</f>
        <v>374.02597402597416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Jacco Thijssen</dc:creator>
  <cp:lastModifiedBy>Mohamed Sami</cp:lastModifiedBy>
  <dcterms:created xsi:type="dcterms:W3CDTF">2019-02-12T13:36:19Z</dcterms:created>
  <dcterms:modified xsi:type="dcterms:W3CDTF">2023-08-22T12:58:36Z</dcterms:modified>
</cp:coreProperties>
</file>