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chter\workspaces\vibraslab\"/>
    </mc:Choice>
  </mc:AlternateContent>
  <xr:revisionPtr revIDLastSave="0" documentId="13_ncr:1_{0E300EA9-C822-4CF4-86BA-1AC23ABD819E}" xr6:coauthVersionLast="40" xr6:coauthVersionMax="40" xr10:uidLastSave="{00000000-0000-0000-0000-000000000000}"/>
  <bookViews>
    <workbookView xWindow="0" yWindow="0" windowWidth="21570" windowHeight="6480" activeTab="1" xr2:uid="{00000000-000D-0000-FFFF-FFFF00000000}"/>
  </bookViews>
  <sheets>
    <sheet name="Slab_Properties" sheetId="1" r:id="rId1"/>
    <sheet name="Sample_Slabs" sheetId="2" r:id="rId2"/>
    <sheet name="AISC_Design_Guide_11_Criteria" sheetId="3" r:id="rId3"/>
    <sheet name="SSM_Example" sheetId="4" r:id="rId4"/>
  </sheets>
  <definedNames>
    <definedName name="c_1" localSheetId="0">Slab_Properties!$B$6</definedName>
    <definedName name="c_1" localSheetId="3">SSM_Example!$B$6</definedName>
    <definedName name="c_1">#REF!</definedName>
    <definedName name="c_2" localSheetId="0">Slab_Properties!$B$7</definedName>
    <definedName name="c_2" localSheetId="3">SSM_Example!$B$7</definedName>
    <definedName name="c_2">#REF!</definedName>
    <definedName name="d" localSheetId="0">Slab_Properties!$B$13</definedName>
    <definedName name="d" localSheetId="3">SSM_Example!$B$13</definedName>
    <definedName name="d">#REF!</definedName>
    <definedName name="E_c" localSheetId="0">Slab_Properties!$B$11</definedName>
    <definedName name="E_c" localSheetId="3">SSM_Example!$B$11</definedName>
    <definedName name="E_c">#REF!</definedName>
    <definedName name="f_c" localSheetId="0">Slab_Properties!$B$9</definedName>
    <definedName name="f_c" localSheetId="3">SSM_Example!$B$9</definedName>
    <definedName name="f_c">#REF!</definedName>
    <definedName name="f_n" localSheetId="3">SSM_Example!$B$124</definedName>
    <definedName name="f_n">Slab_Properties!$B$124</definedName>
    <definedName name="f_r" localSheetId="0">Slab_Properties!$B$18</definedName>
    <definedName name="f_r" localSheetId="3">SSM_Example!$B$18</definedName>
    <definedName name="f_r">#REF!</definedName>
    <definedName name="f_y" localSheetId="0">Slab_Properties!$B$10</definedName>
    <definedName name="f_y" localSheetId="3">SSM_Example!$B$10</definedName>
    <definedName name="f_y">#REF!</definedName>
    <definedName name="gamma" localSheetId="0">Slab_Properties!$B$123</definedName>
    <definedName name="gamma" localSheetId="3">SSM_Example!$B$123</definedName>
    <definedName name="gamma">#REF!</definedName>
    <definedName name="h" localSheetId="0">Slab_Properties!$B$12</definedName>
    <definedName name="h" localSheetId="3">SSM_Example!$B$12</definedName>
    <definedName name="h">#REF!</definedName>
    <definedName name="k_1" localSheetId="0">Slab_Properties!$B$118</definedName>
    <definedName name="k_1" localSheetId="3">SSM_Example!$B$118</definedName>
    <definedName name="k_1">#REF!</definedName>
    <definedName name="k_2" localSheetId="0">Slab_Properties!$B$121</definedName>
    <definedName name="k_2" localSheetId="3">SSM_Example!$B$121</definedName>
    <definedName name="k_2">#REF!</definedName>
    <definedName name="l_1" localSheetId="0">Slab_Properties!$B$3</definedName>
    <definedName name="l_1" localSheetId="3">SSM_Example!$B$3</definedName>
    <definedName name="l_1">#REF!</definedName>
    <definedName name="l_1c" localSheetId="0">Slab_Properties!$B$22</definedName>
    <definedName name="l_1c" localSheetId="3">SSM_Example!$B$22</definedName>
    <definedName name="l_1c">#REF!</definedName>
    <definedName name="l_1m" localSheetId="0">Slab_Properties!$C$22</definedName>
    <definedName name="l_1m" localSheetId="3">SSM_Example!$C$22</definedName>
    <definedName name="l_1m">#REF!</definedName>
    <definedName name="l_2" localSheetId="0">Slab_Properties!$B$4</definedName>
    <definedName name="l_2" localSheetId="3">SSM_Example!$B$4</definedName>
    <definedName name="l_2">#REF!</definedName>
    <definedName name="l_2c" localSheetId="0">Slab_Properties!$B$23</definedName>
    <definedName name="l_2c" localSheetId="3">SSM_Example!$B$23</definedName>
    <definedName name="l_2c">#REF!</definedName>
    <definedName name="l_2m" localSheetId="0">Slab_Properties!$C$23</definedName>
    <definedName name="l_2m" localSheetId="3">SSM_Example!$C$23</definedName>
    <definedName name="l_2m">#REF!</definedName>
    <definedName name="lambda_cw" localSheetId="0">Slab_Properties!$B$17</definedName>
    <definedName name="lambda_cw" localSheetId="3">SSM_Example!$B$17</definedName>
    <definedName name="lambda_cw">#REF!</definedName>
    <definedName name="lambda_i_sq" localSheetId="0">Slab_Properties!$B$122</definedName>
    <definedName name="lambda_i_sq" localSheetId="3">SSM_Example!$B$122</definedName>
    <definedName name="lambda_i_sq">#REF!</definedName>
    <definedName name="lambda_w" localSheetId="0">Slab_Properties!$B$17</definedName>
    <definedName name="lambda_w" localSheetId="3">SSM_Example!$B$17</definedName>
    <definedName name="lambda_w">#REF!</definedName>
    <definedName name="LL" localSheetId="0">Slab_Properties!$B$27</definedName>
    <definedName name="LL" localSheetId="3">SSM_Example!$B$27</definedName>
    <definedName name="LL">#REF!</definedName>
    <definedName name="LLvib" localSheetId="0">Slab_Properties!$B$28</definedName>
    <definedName name="LLvib" localSheetId="3">SSM_Example!$B$28</definedName>
    <definedName name="LLvib">#REF!</definedName>
    <definedName name="mass" localSheetId="0">Slab_Properties!$B$30</definedName>
    <definedName name="mass" localSheetId="3">SSM_Example!$B$30</definedName>
    <definedName name="mass">#REF!</definedName>
    <definedName name="n" localSheetId="0">Slab_Properties!$B$16</definedName>
    <definedName name="n" localSheetId="3">SSM_Example!$B$16</definedName>
    <definedName name="n">#REF!</definedName>
    <definedName name="nu" localSheetId="0">Slab_Properties!$B$8</definedName>
    <definedName name="nu" localSheetId="3">SSM_Example!$B$8</definedName>
    <definedName name="nu">#REF!</definedName>
    <definedName name="q_u" localSheetId="3">SSM_Example!$B$36</definedName>
    <definedName name="q_u">Slab_Properties!$B$36</definedName>
    <definedName name="qu" localSheetId="3">SSM_Example!$B$36</definedName>
    <definedName name="qu">Slab_Properties!$B$36</definedName>
    <definedName name="SDL" localSheetId="0">Slab_Properties!$B$26</definedName>
    <definedName name="SDL" localSheetId="3">SSM_Example!$B$26</definedName>
    <definedName name="SDL">#REF!</definedName>
    <definedName name="SW" localSheetId="0">Slab_Properties!$B$29</definedName>
    <definedName name="SW" localSheetId="3">SSM_Example!$B$29</definedName>
    <definedName name="SW">#REF!</definedName>
    <definedName name="v" localSheetId="0">Slab_Properties!$B$8</definedName>
    <definedName name="v" localSheetId="3">SSM_Example!$B$8</definedName>
    <definedName name="v">#REF!</definedName>
    <definedName name="w_c" localSheetId="0">Slab_Properties!$B$14</definedName>
    <definedName name="w_c" localSheetId="3">SSM_Example!$B$14</definedName>
    <definedName name="w_c">#REF!</definedName>
    <definedName name="y_t" localSheetId="0">Slab_Properties!$B$15</definedName>
    <definedName name="y_t" localSheetId="3">SSM_Example!$B$15</definedName>
    <definedName name="y_t">#REF!</definedName>
  </definedNames>
  <calcPr calcId="181029"/>
</workbook>
</file>

<file path=xl/calcChain.xml><?xml version="1.0" encoding="utf-8"?>
<calcChain xmlns="http://schemas.openxmlformats.org/spreadsheetml/2006/main">
  <c r="B121" i="4" l="1"/>
  <c r="D94" i="4"/>
  <c r="E60" i="4"/>
  <c r="B51" i="4"/>
  <c r="E66" i="4" s="1"/>
  <c r="B49" i="4"/>
  <c r="D60" i="4" s="1"/>
  <c r="B36" i="4"/>
  <c r="B38" i="4" s="1"/>
  <c r="B30" i="4"/>
  <c r="B31" i="4" s="1"/>
  <c r="B29" i="4"/>
  <c r="B50" i="4" s="1"/>
  <c r="C23" i="4"/>
  <c r="B23" i="4"/>
  <c r="B22" i="4"/>
  <c r="B18" i="4"/>
  <c r="B17" i="4"/>
  <c r="B15" i="4"/>
  <c r="B11" i="4"/>
  <c r="B16" i="4" s="1"/>
  <c r="B5" i="4"/>
  <c r="B122" i="4" s="1"/>
  <c r="B5" i="3"/>
  <c r="B121" i="1"/>
  <c r="C94" i="1"/>
  <c r="C90" i="1"/>
  <c r="C89" i="1"/>
  <c r="D66" i="1"/>
  <c r="D60" i="1"/>
  <c r="B51" i="1"/>
  <c r="E65" i="1" s="1"/>
  <c r="B50" i="1"/>
  <c r="D61" i="1" s="1"/>
  <c r="B49" i="1"/>
  <c r="E59" i="1" s="1"/>
  <c r="B37" i="1"/>
  <c r="B42" i="1" s="1"/>
  <c r="B36" i="1"/>
  <c r="B38" i="1" s="1"/>
  <c r="B31" i="1"/>
  <c r="B30" i="1"/>
  <c r="B29" i="1"/>
  <c r="B123" i="1" s="1"/>
  <c r="B127" i="1" s="1"/>
  <c r="B4" i="3" s="1"/>
  <c r="C23" i="1"/>
  <c r="B23" i="1"/>
  <c r="B22" i="1"/>
  <c r="B17" i="1"/>
  <c r="B18" i="1" s="1"/>
  <c r="B15" i="1"/>
  <c r="B11" i="1"/>
  <c r="B16" i="1" s="1"/>
  <c r="B5" i="1"/>
  <c r="B122" i="1" s="1"/>
  <c r="L99" i="1" l="1"/>
  <c r="L100" i="1"/>
  <c r="L104" i="1"/>
  <c r="L102" i="1"/>
  <c r="B45" i="4"/>
  <c r="B44" i="4"/>
  <c r="B43" i="4"/>
  <c r="E63" i="4"/>
  <c r="E61" i="4"/>
  <c r="D63" i="4"/>
  <c r="E62" i="4"/>
  <c r="D62" i="4"/>
  <c r="D61" i="4"/>
  <c r="B45" i="1"/>
  <c r="B44" i="1"/>
  <c r="B43" i="1"/>
  <c r="C74" i="1"/>
  <c r="H83" i="1" s="1"/>
  <c r="C83" i="1" s="1"/>
  <c r="P102" i="1" s="1"/>
  <c r="N102" i="1"/>
  <c r="E60" i="1"/>
  <c r="E66" i="1"/>
  <c r="D94" i="1"/>
  <c r="M104" i="1" s="1"/>
  <c r="B37" i="4"/>
  <c r="C89" i="4"/>
  <c r="E61" i="1"/>
  <c r="C90" i="4"/>
  <c r="B40" i="1"/>
  <c r="C91" i="4"/>
  <c r="L101" i="4" s="1"/>
  <c r="E62" i="1"/>
  <c r="D63" i="1"/>
  <c r="C91" i="1"/>
  <c r="L101" i="1" s="1"/>
  <c r="C22" i="4"/>
  <c r="D62" i="1"/>
  <c r="C22" i="1"/>
  <c r="E63" i="1"/>
  <c r="D58" i="4"/>
  <c r="D64" i="4"/>
  <c r="C92" i="4"/>
  <c r="L102" i="4" s="1"/>
  <c r="D58" i="1"/>
  <c r="D64" i="1"/>
  <c r="C92" i="1"/>
  <c r="E58" i="4"/>
  <c r="E64" i="4"/>
  <c r="D92" i="4"/>
  <c r="M102" i="4" s="1"/>
  <c r="M104" i="4"/>
  <c r="B41" i="1"/>
  <c r="E58" i="1"/>
  <c r="E64" i="1"/>
  <c r="D92" i="1"/>
  <c r="M102" i="1" s="1"/>
  <c r="B48" i="4"/>
  <c r="D59" i="4"/>
  <c r="D65" i="4"/>
  <c r="C93" i="4"/>
  <c r="L103" i="4" s="1"/>
  <c r="L99" i="4"/>
  <c r="B48" i="1"/>
  <c r="D59" i="1"/>
  <c r="D65" i="1"/>
  <c r="C93" i="1"/>
  <c r="L103" i="1" s="1"/>
  <c r="E59" i="4"/>
  <c r="E65" i="4"/>
  <c r="D93" i="4"/>
  <c r="M103" i="4" s="1"/>
  <c r="B123" i="4"/>
  <c r="B127" i="4" s="1"/>
  <c r="D93" i="1"/>
  <c r="M103" i="1" s="1"/>
  <c r="D66" i="4"/>
  <c r="C94" i="4"/>
  <c r="L104" i="4" s="1"/>
  <c r="L100" i="4"/>
  <c r="D56" i="1" l="1"/>
  <c r="E56" i="1"/>
  <c r="E57" i="1"/>
  <c r="D57" i="1"/>
  <c r="D55" i="1"/>
  <c r="E55" i="1"/>
  <c r="C75" i="4"/>
  <c r="H84" i="4" s="1"/>
  <c r="C84" i="4" s="1"/>
  <c r="N103" i="4"/>
  <c r="D74" i="4"/>
  <c r="I83" i="4" s="1"/>
  <c r="D83" i="4" s="1"/>
  <c r="O102" i="4"/>
  <c r="D102" i="4" s="1"/>
  <c r="C109" i="4" s="1"/>
  <c r="D74" i="1"/>
  <c r="I83" i="1" s="1"/>
  <c r="D83" i="1" s="1"/>
  <c r="O102" i="1"/>
  <c r="D102" i="1" s="1"/>
  <c r="O104" i="1"/>
  <c r="D104" i="1" s="1"/>
  <c r="D76" i="1"/>
  <c r="I85" i="1" s="1"/>
  <c r="D85" i="1" s="1"/>
  <c r="O104" i="4"/>
  <c r="D104" i="4" s="1"/>
  <c r="D76" i="4"/>
  <c r="I85" i="4" s="1"/>
  <c r="D85" i="4" s="1"/>
  <c r="D90" i="1"/>
  <c r="M100" i="1" s="1"/>
  <c r="D91" i="1"/>
  <c r="M101" i="1" s="1"/>
  <c r="D89" i="1"/>
  <c r="D75" i="1"/>
  <c r="I84" i="1" s="1"/>
  <c r="D84" i="1" s="1"/>
  <c r="O103" i="1"/>
  <c r="D103" i="1" s="1"/>
  <c r="E57" i="4"/>
  <c r="D57" i="4"/>
  <c r="E56" i="4"/>
  <c r="D56" i="4"/>
  <c r="E55" i="4"/>
  <c r="D55" i="4"/>
  <c r="B42" i="4"/>
  <c r="B41" i="4"/>
  <c r="B40" i="4"/>
  <c r="D75" i="4"/>
  <c r="I84" i="4" s="1"/>
  <c r="D84" i="4" s="1"/>
  <c r="O103" i="4"/>
  <c r="D103" i="4" s="1"/>
  <c r="C76" i="4"/>
  <c r="H85" i="4" s="1"/>
  <c r="C85" i="4" s="1"/>
  <c r="N104" i="4"/>
  <c r="C75" i="1"/>
  <c r="H84" i="1" s="1"/>
  <c r="C84" i="1" s="1"/>
  <c r="N103" i="1"/>
  <c r="D91" i="4"/>
  <c r="M101" i="4" s="1"/>
  <c r="D90" i="4"/>
  <c r="M100" i="4" s="1"/>
  <c r="D89" i="4"/>
  <c r="M99" i="4" s="1"/>
  <c r="N104" i="1"/>
  <c r="C76" i="1"/>
  <c r="H85" i="1" s="1"/>
  <c r="C85" i="1" s="1"/>
  <c r="C74" i="4"/>
  <c r="H83" i="4" s="1"/>
  <c r="C83" i="4" s="1"/>
  <c r="N102" i="4"/>
  <c r="F102" i="1"/>
  <c r="H102" i="1" s="1"/>
  <c r="J102" i="1" s="1"/>
  <c r="C102" i="1" s="1"/>
  <c r="Q102" i="1" l="1"/>
  <c r="G102" i="1"/>
  <c r="I102" i="1" s="1"/>
  <c r="K102" i="1" s="1"/>
  <c r="O99" i="4"/>
  <c r="D71" i="4"/>
  <c r="I80" i="4" s="1"/>
  <c r="D80" i="4" s="1"/>
  <c r="C72" i="4"/>
  <c r="H81" i="4" s="1"/>
  <c r="C81" i="4" s="1"/>
  <c r="N100" i="4"/>
  <c r="Q102" i="4"/>
  <c r="G102" i="4"/>
  <c r="I102" i="4" s="1"/>
  <c r="K102" i="4" s="1"/>
  <c r="C103" i="4"/>
  <c r="C73" i="4"/>
  <c r="H82" i="4" s="1"/>
  <c r="C82" i="4" s="1"/>
  <c r="N101" i="4"/>
  <c r="P103" i="4"/>
  <c r="F103" i="4"/>
  <c r="H103" i="4" s="1"/>
  <c r="J103" i="4" s="1"/>
  <c r="N99" i="4"/>
  <c r="C71" i="4"/>
  <c r="H80" i="4" s="1"/>
  <c r="C80" i="4" s="1"/>
  <c r="C104" i="1"/>
  <c r="D73" i="4"/>
  <c r="I82" i="4" s="1"/>
  <c r="D82" i="4" s="1"/>
  <c r="O101" i="4"/>
  <c r="D71" i="1"/>
  <c r="I80" i="1" s="1"/>
  <c r="D80" i="1" s="1"/>
  <c r="O99" i="1"/>
  <c r="D99" i="1" s="1"/>
  <c r="P102" i="4"/>
  <c r="F102" i="4"/>
  <c r="H102" i="4" s="1"/>
  <c r="J102" i="4" s="1"/>
  <c r="C102" i="4" s="1"/>
  <c r="P104" i="4"/>
  <c r="F104" i="4"/>
  <c r="H104" i="4" s="1"/>
  <c r="J104" i="4" s="1"/>
  <c r="C104" i="4" s="1"/>
  <c r="B115" i="4"/>
  <c r="Q104" i="4"/>
  <c r="G104" i="4"/>
  <c r="I104" i="4" s="1"/>
  <c r="K104" i="4" s="1"/>
  <c r="C71" i="1"/>
  <c r="H80" i="1" s="1"/>
  <c r="C80" i="1" s="1"/>
  <c r="N99" i="1"/>
  <c r="C73" i="1"/>
  <c r="H82" i="1" s="1"/>
  <c r="C82" i="1" s="1"/>
  <c r="N101" i="1"/>
  <c r="P104" i="1"/>
  <c r="F104" i="1"/>
  <c r="H104" i="1" s="1"/>
  <c r="J104" i="1" s="1"/>
  <c r="Q103" i="4"/>
  <c r="G103" i="4"/>
  <c r="I103" i="4" s="1"/>
  <c r="K103" i="4" s="1"/>
  <c r="Q104" i="1"/>
  <c r="G104" i="1"/>
  <c r="I104" i="1" s="1"/>
  <c r="K104" i="1" s="1"/>
  <c r="D73" i="1"/>
  <c r="I82" i="1" s="1"/>
  <c r="D82" i="1" s="1"/>
  <c r="O101" i="1"/>
  <c r="D72" i="4"/>
  <c r="I81" i="4" s="1"/>
  <c r="D81" i="4" s="1"/>
  <c r="O100" i="4"/>
  <c r="D100" i="4" s="1"/>
  <c r="Q103" i="1"/>
  <c r="G103" i="1"/>
  <c r="I103" i="1" s="1"/>
  <c r="K103" i="1" s="1"/>
  <c r="D72" i="1"/>
  <c r="I81" i="1" s="1"/>
  <c r="D81" i="1" s="1"/>
  <c r="O100" i="1"/>
  <c r="P103" i="1"/>
  <c r="F103" i="1"/>
  <c r="H103" i="1" s="1"/>
  <c r="J103" i="1" s="1"/>
  <c r="C103" i="1" s="1"/>
  <c r="B109" i="1" s="1"/>
  <c r="M99" i="1"/>
  <c r="B115" i="1"/>
  <c r="C109" i="1"/>
  <c r="C72" i="1"/>
  <c r="H81" i="1" s="1"/>
  <c r="C81" i="1" s="1"/>
  <c r="N100" i="1"/>
  <c r="B109" i="4" l="1"/>
  <c r="Q99" i="1"/>
  <c r="G99" i="1"/>
  <c r="I99" i="1" s="1"/>
  <c r="K99" i="1" s="1"/>
  <c r="P101" i="1"/>
  <c r="F101" i="1"/>
  <c r="H101" i="1" s="1"/>
  <c r="J101" i="1" s="1"/>
  <c r="C101" i="1" s="1"/>
  <c r="Q100" i="1"/>
  <c r="G100" i="1"/>
  <c r="I100" i="1" s="1"/>
  <c r="K100" i="1" s="1"/>
  <c r="D100" i="1" s="1"/>
  <c r="C108" i="1" s="1"/>
  <c r="C99" i="1"/>
  <c r="Q101" i="4"/>
  <c r="G101" i="4"/>
  <c r="I101" i="4" s="1"/>
  <c r="K101" i="4" s="1"/>
  <c r="D101" i="4" s="1"/>
  <c r="Q100" i="4"/>
  <c r="G100" i="4"/>
  <c r="I100" i="4" s="1"/>
  <c r="K100" i="4" s="1"/>
  <c r="P99" i="1"/>
  <c r="F99" i="1"/>
  <c r="H99" i="1" s="1"/>
  <c r="J99" i="1" s="1"/>
  <c r="D101" i="1"/>
  <c r="P100" i="4"/>
  <c r="F100" i="4"/>
  <c r="H100" i="4" s="1"/>
  <c r="J100" i="4" s="1"/>
  <c r="C100" i="4" s="1"/>
  <c r="P100" i="1"/>
  <c r="F100" i="1"/>
  <c r="H100" i="1" s="1"/>
  <c r="J100" i="1" s="1"/>
  <c r="C100" i="1" s="1"/>
  <c r="Q101" i="1"/>
  <c r="G101" i="1"/>
  <c r="I101" i="1" s="1"/>
  <c r="K101" i="1" s="1"/>
  <c r="P99" i="4"/>
  <c r="F99" i="4"/>
  <c r="H99" i="4" s="1"/>
  <c r="J99" i="4" s="1"/>
  <c r="C99" i="4" s="1"/>
  <c r="B108" i="4" s="1"/>
  <c r="Q99" i="4"/>
  <c r="G99" i="4"/>
  <c r="I99" i="4" s="1"/>
  <c r="K99" i="4" s="1"/>
  <c r="D99" i="4" s="1"/>
  <c r="P101" i="4"/>
  <c r="F101" i="4"/>
  <c r="H101" i="4" s="1"/>
  <c r="J101" i="4" s="1"/>
  <c r="C101" i="4" s="1"/>
  <c r="B112" i="4" l="1"/>
  <c r="B118" i="4" s="1"/>
  <c r="B124" i="4" s="1"/>
  <c r="C108" i="4"/>
  <c r="B108" i="1"/>
  <c r="B112" i="1" s="1"/>
  <c r="B118" i="1" s="1"/>
  <c r="B124" i="1" s="1"/>
  <c r="B3" i="3" s="1"/>
  <c r="B10" i="3" l="1"/>
  <c r="I10" i="3" s="1"/>
  <c r="K10" i="3" s="1"/>
  <c r="B11" i="3"/>
  <c r="B13" i="3"/>
  <c r="B12" i="3"/>
  <c r="H12" i="3" l="1"/>
  <c r="J12" i="3" s="1"/>
  <c r="K12" i="3" s="1"/>
  <c r="I12" i="3"/>
  <c r="J13" i="3"/>
  <c r="I13" i="3"/>
  <c r="H13" i="3"/>
  <c r="K13" i="3" s="1"/>
  <c r="I11" i="3"/>
  <c r="H11" i="3"/>
  <c r="J11" i="3" s="1"/>
  <c r="K11" i="3" s="1"/>
</calcChain>
</file>

<file path=xl/sharedStrings.xml><?xml version="1.0" encoding="utf-8"?>
<sst xmlns="http://schemas.openxmlformats.org/spreadsheetml/2006/main" count="877" uniqueCount="160">
  <si>
    <t>Slab properties:</t>
  </si>
  <si>
    <t>bay type</t>
  </si>
  <si>
    <t>l1 =</t>
  </si>
  <si>
    <t>ft</t>
  </si>
  <si>
    <t>interior</t>
  </si>
  <si>
    <t>* must be larger span</t>
  </si>
  <si>
    <t>l2 =</t>
  </si>
  <si>
    <t>l1 / l2 =</t>
  </si>
  <si>
    <t>* must be &lt; 2.0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</si>
  <si>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</si>
  <si>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</si>
  <si>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</si>
  <si>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</si>
  <si>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</si>
  <si>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</si>
  <si>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</si>
  <si>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</si>
  <si>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</si>
  <si>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</si>
  <si>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</si>
  <si>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wc =</t>
  </si>
  <si>
    <t>pcf</t>
  </si>
  <si>
    <t>yt =</t>
  </si>
  <si>
    <t>n =</t>
  </si>
  <si>
    <t>lcw =</t>
  </si>
  <si>
    <t>fr =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</si>
  <si>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</si>
  <si>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</si>
  <si>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</si>
  <si>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</si>
  <si>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</si>
  <si>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</si>
  <si>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</si>
  <si>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</si>
  <si>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</si>
  <si>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</si>
  <si>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</si>
  <si>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</si>
  <si>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</si>
  <si>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</si>
  <si>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</si>
  <si>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</si>
  <si>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</si>
  <si>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</si>
  <si>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</si>
  <si>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</si>
  <si>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</si>
  <si>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</si>
  <si>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</si>
  <si>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</si>
  <si>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</si>
  <si>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</si>
  <si>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</si>
  <si>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</si>
  <si>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</si>
  <si>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</si>
  <si>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</si>
  <si>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</si>
  <si>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</si>
  <si>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</si>
  <si>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</si>
  <si>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</si>
  <si>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</si>
  <si>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</si>
  <si>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</si>
  <si>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</si>
  <si>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</si>
  <si>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</si>
  <si>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</si>
  <si>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</si>
  <si>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</si>
  <si>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</si>
  <si>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</si>
  <si>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</si>
  <si>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</si>
  <si>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</si>
  <si>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</si>
  <si>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</si>
  <si>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</si>
  <si>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</si>
  <si>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</si>
  <si>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Estimation:</t>
  </si>
  <si>
    <t>User input: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</si>
  <si>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</si>
  <si>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</si>
  <si>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</si>
  <si>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</si>
  <si>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</si>
  <si>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</si>
  <si>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</si>
  <si>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</si>
  <si>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</si>
  <si>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</si>
  <si>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</si>
  <si>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</si>
  <si>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</si>
  <si>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</si>
  <si>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</si>
  <si>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</si>
  <si>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</si>
  <si>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</si>
  <si>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</si>
  <si>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</si>
  <si>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</si>
  <si>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</si>
  <si>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</si>
  <si>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</si>
  <si>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</si>
  <si>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</si>
  <si>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</si>
  <si>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</si>
  <si>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</si>
  <si>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</si>
  <si>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</si>
  <si>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</si>
  <si>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</si>
  <si>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</si>
  <si>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</si>
  <si>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</si>
  <si>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</si>
  <si>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</si>
  <si>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</si>
  <si>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</si>
  <si>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</si>
  <si>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</si>
  <si>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</si>
  <si>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fn</t>
  </si>
  <si>
    <t>W</t>
  </si>
  <si>
    <t>b</t>
  </si>
  <si>
    <t>Very Slow</t>
  </si>
  <si>
    <t>Slow</t>
  </si>
  <si>
    <t>Moderate</t>
  </si>
  <si>
    <t>Fast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</si>
  <si>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</si>
  <si>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</si>
  <si>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</si>
  <si>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</si>
  <si>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</si>
  <si>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</si>
  <si>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</si>
  <si>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</si>
  <si>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</si>
  <si>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</si>
  <si>
    <t>mips</t>
  </si>
  <si>
    <t>exterior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</si>
  <si>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</si>
  <si>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</si>
  <si>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</si>
  <si>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</si>
  <si>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</si>
  <si>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</si>
  <si>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</si>
  <si>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fstep</t>
  </si>
  <si>
    <t>f4max</t>
  </si>
  <si>
    <t>fL</t>
  </si>
  <si>
    <t>fU</t>
  </si>
  <si>
    <t xml:space="preserve">g </t>
  </si>
  <si>
    <t>fn &lt;= fL</t>
  </si>
  <si>
    <t>fn &gt;= fU</t>
  </si>
  <si>
    <t>fL &lt; fn &lt; 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</si>
</sst>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/>
  </cellStyleXfs>
  <cellXfs count="60">
    <xf numFmtId="0" fontId="0" fillId="0" borderId="0" xfId="0"/>
    <xf numFmtId="0" fontId="0" fillId="0" borderId="0" xfId="0" applyAlignment="1">
      <alignment horizontal="left"/>
    </xf>
    <xf numFmtId="0" fontId="0" fillId="2" borderId="1" xfId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/>
    <xf numFmtId="0" fontId="0" fillId="2" borderId="1" xfId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left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Note" xfId="1" builtinId="1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28"/>
  <sheetViews>
    <sheetView topLeftCell="A112" zoomScale="85" zoomScaleNormal="85" workbookViewId="0">
      <selection activeCell="E29" sqref="E29"/>
    </sheetView>
  </sheetViews>
  <sheetFormatPr defaultRowHeight="15"/>
  <cols>
    <col min="1" max="1" width="14" style="8" customWidth="1"/>
    <col min="4" max="4" width="10.28515625" style="8" customWidth="1"/>
    <col min="5" max="5" width="12" style="8" customWidth="1"/>
    <col min="6" max="6" width="11.85546875" style="8" customWidth="1"/>
    <col min="7" max="7" width="12.7109375" style="8" customWidth="1"/>
    <col min="8" max="9" width="11.28515625" style="8" bestFit="1" customWidth="1"/>
    <col min="10" max="13" width="11.5703125" style="8" bestFit="1" customWidth="1"/>
  </cols>
  <sheetData>
    <row r="2" spans="1:5">
      <c r="A2" s="52" t="s">
        <v>0</v>
      </c>
      <c r="D2" s="56" t="s">
        <v>1</v>
      </c>
    </row>
    <row r="3" spans="1:5" ht="18" customHeight="1">
      <c r="A3" s="3" t="s">
        <v>2</v>
      </c>
      <c r="B3" s="2">
        <v>25</v>
      </c>
      <c r="C3" t="s">
        <v>3</v>
      </c>
      <c r="D3" s="9" t="s">
        <v>4</v>
      </c>
      <c r="E3" t="s">
        <v>5</v>
      </c>
    </row>
    <row r="4" spans="1:5" ht="18" customHeight="1">
      <c r="A4" s="3" t="s">
        <v>6</v>
      </c>
      <c r="B4" s="2">
        <v>20</v>
      </c>
      <c r="C4" t="s">
        <v>3</v>
      </c>
      <c r="D4" s="9" t="s">
        <v>4</v>
      </c>
    </row>
    <row r="5" spans="1:5" ht="18" customHeight="1">
      <c r="A5" s="3" t="s">
        <v>7</v>
      </c>
      <c r="B5" s="4">
        <f>l_1/l_2</f>
        <v>1.25</v>
      </c>
      <c r="D5" s="56" t="s">
        <v>8</v>
      </c>
    </row>
    <row r="6" spans="1:5" ht="18" customHeight="1">
      <c r="A6" s="3" t="s">
        <v>9</v>
      </c>
      <c r="B6" s="2">
        <v>22</v>
      </c>
      <c r="C6" t="s">
        <v>10</v>
      </c>
    </row>
    <row r="7" spans="1:5" ht="18" customHeight="1">
      <c r="A7" s="3" t="s">
        <v>11</v>
      </c>
      <c r="B7" s="2">
        <v>22</v>
      </c>
      <c r="C7" t="s">
        <v>10</v>
      </c>
    </row>
    <row r="8" spans="1:5">
      <c r="A8" s="3" t="s">
        <v>12</v>
      </c>
      <c r="B8" s="2">
        <v>0.2</v>
      </c>
    </row>
    <row r="9" spans="1:5" ht="18" customHeight="1">
      <c r="A9" s="3" t="s">
        <v>13</v>
      </c>
      <c r="B9" s="2">
        <v>4000</v>
      </c>
      <c r="C9" t="s">
        <v>14</v>
      </c>
    </row>
    <row r="10" spans="1:5" ht="18" customHeight="1">
      <c r="A10" s="3" t="s">
        <v>15</v>
      </c>
      <c r="B10" s="2">
        <v>60000</v>
      </c>
      <c r="C10" t="s">
        <v>14</v>
      </c>
    </row>
    <row r="11" spans="1:5" ht="18" customHeight="1">
      <c r="A11" s="3" t="s">
        <v>16</v>
      </c>
      <c r="B11">
        <f>IF(AND(B14&gt;90,B14&lt;=160),B14^1.5*33*SQRT(B9))*1.2</f>
        <v>4601104.2152944095</v>
      </c>
      <c r="C11" t="s">
        <v>14</v>
      </c>
      <c r="D11" t="s">
        <v>17</v>
      </c>
    </row>
    <row r="12" spans="1:5">
      <c r="A12" s="3" t="s">
        <v>18</v>
      </c>
      <c r="B12" s="2">
        <v>9.5</v>
      </c>
      <c r="C12" t="s">
        <v>10</v>
      </c>
    </row>
    <row r="13" spans="1:5">
      <c r="A13" s="3" t="s">
        <v>19</v>
      </c>
      <c r="B13" s="2">
        <v>8.25</v>
      </c>
      <c r="C13" t="s">
        <v>10</v>
      </c>
    </row>
    <row r="14" spans="1:5" ht="18" customHeight="1">
      <c r="A14" s="3" t="s">
        <v>20</v>
      </c>
      <c r="B14" s="2">
        <v>150</v>
      </c>
      <c r="C14" t="s">
        <v>21</v>
      </c>
    </row>
    <row r="15" spans="1:5" ht="18" customHeight="1">
      <c r="A15" s="3" t="s">
        <v>22</v>
      </c>
      <c r="B15">
        <f>h/2</f>
        <v>4.75</v>
      </c>
      <c r="C15" t="s">
        <v>10</v>
      </c>
    </row>
    <row r="16" spans="1:5">
      <c r="A16" s="3" t="s">
        <v>23</v>
      </c>
      <c r="B16" s="5">
        <f>29000000/E_c</f>
        <v>6.3028348507303669</v>
      </c>
    </row>
    <row r="17" spans="1:5" ht="18" customHeight="1">
      <c r="A17" s="11" t="s">
        <v>24</v>
      </c>
      <c r="B17" s="4">
        <f>IF(AND(w_c&lt;150, w_c&gt;140), 0.85,IF(w_c=150, 1, "ERROR"))</f>
        <v>1</v>
      </c>
    </row>
    <row r="18" spans="1:5" ht="18" customHeight="1">
      <c r="A18" s="3" t="s">
        <v>25</v>
      </c>
      <c r="B18" s="5">
        <f>4.5*lambda_w*SQRT(f_c)</f>
        <v>284.60498941515414</v>
      </c>
      <c r="C18" t="s">
        <v>14</v>
      </c>
    </row>
    <row r="19" spans="1:5">
      <c r="A19" s="3"/>
    </row>
    <row r="20" spans="1:5">
      <c r="A20" s="21" t="s">
        <v>26</v>
      </c>
    </row>
    <row r="21" spans="1:5">
      <c r="A21" s="3" t="s">
        <v>27</v>
      </c>
      <c r="B21" s="56" t="s">
        <v>28</v>
      </c>
      <c r="C21" s="56" t="s">
        <v>29</v>
      </c>
    </row>
    <row r="22" spans="1:5" ht="18" customHeight="1">
      <c r="A22" s="3" t="s">
        <v>30</v>
      </c>
      <c r="B22" s="56">
        <f>MIN(0.25*l_1, 0.25*l_2)*2</f>
        <v>10</v>
      </c>
      <c r="C22" s="56">
        <f>l_2-B22</f>
        <v>10</v>
      </c>
      <c r="D22" t="s">
        <v>3</v>
      </c>
      <c r="E22" t="s">
        <v>31</v>
      </c>
    </row>
    <row r="23" spans="1:5" ht="18" customHeight="1">
      <c r="A23" s="3" t="s">
        <v>32</v>
      </c>
      <c r="B23" s="56">
        <f>MIN(0.25*l_1, 0.25*l_2)*2</f>
        <v>10</v>
      </c>
      <c r="C23" s="56">
        <f>l_1-B23</f>
        <v>15</v>
      </c>
      <c r="D23" t="s">
        <v>3</v>
      </c>
    </row>
    <row r="25" spans="1:5">
      <c r="A25" s="3" t="s">
        <v>33</v>
      </c>
    </row>
    <row r="26" spans="1:5">
      <c r="A26" s="3" t="s">
        <v>34</v>
      </c>
      <c r="B26" s="2">
        <v>20</v>
      </c>
      <c r="C26" t="s">
        <v>35</v>
      </c>
    </row>
    <row r="27" spans="1:5">
      <c r="A27" s="3" t="s">
        <v>36</v>
      </c>
      <c r="B27" s="2">
        <v>65</v>
      </c>
      <c r="C27" t="s">
        <v>35</v>
      </c>
    </row>
    <row r="28" spans="1:5" ht="18" customHeight="1">
      <c r="A28" s="3" t="s">
        <v>37</v>
      </c>
      <c r="B28" s="2">
        <v>11</v>
      </c>
      <c r="C28" t="s">
        <v>35</v>
      </c>
    </row>
    <row r="29" spans="1:5">
      <c r="A29" s="3" t="s">
        <v>38</v>
      </c>
      <c r="B29" s="6">
        <f>(h/12*w_c)</f>
        <v>118.75</v>
      </c>
      <c r="C29" t="s">
        <v>35</v>
      </c>
    </row>
    <row r="30" spans="1:5" ht="17.25" customHeight="1">
      <c r="A30" s="3" t="s">
        <v>39</v>
      </c>
      <c r="B30" s="6">
        <f>(h / 12 * w_c +SDL+LLvib)*l_1*l_2/32.2</f>
        <v>2325.310559006211</v>
      </c>
      <c r="C30" t="s">
        <v>40</v>
      </c>
    </row>
    <row r="31" spans="1:5">
      <c r="A31" s="3" t="s">
        <v>41</v>
      </c>
      <c r="B31" s="6">
        <f>mass * 32.2/1000</f>
        <v>74.875</v>
      </c>
      <c r="C31" t="s">
        <v>42</v>
      </c>
    </row>
    <row r="32" spans="1:5" ht="15.75" customHeight="1" thickBot="1">
      <c r="A32" s="3"/>
      <c r="B32" s="6"/>
    </row>
    <row r="33" spans="1:14" ht="15.75" customHeight="1" thickBot="1">
      <c r="A33" s="21" t="s">
        <v>43</v>
      </c>
      <c r="B33" s="6"/>
      <c r="F33" s="53" t="s">
        <v>44</v>
      </c>
      <c r="G33" s="54"/>
      <c r="H33" s="55"/>
    </row>
    <row r="34" spans="1:14">
      <c r="A34" s="3"/>
      <c r="F34" s="45" t="s">
        <v>45</v>
      </c>
      <c r="G34" s="46" t="s">
        <v>45</v>
      </c>
      <c r="H34" s="46" t="s">
        <v>45</v>
      </c>
      <c r="I34" s="46" t="s">
        <v>45</v>
      </c>
      <c r="J34" s="46" t="s">
        <v>46</v>
      </c>
      <c r="K34" s="46" t="s">
        <v>46</v>
      </c>
      <c r="L34" s="46" t="s">
        <v>46</v>
      </c>
      <c r="M34" s="47" t="s">
        <v>46</v>
      </c>
    </row>
    <row r="35" spans="1:14" ht="18" customHeight="1">
      <c r="A35" s="21" t="s">
        <v>47</v>
      </c>
      <c r="F35" s="41" t="s">
        <v>28</v>
      </c>
      <c r="G35" s="42" t="s">
        <v>28</v>
      </c>
      <c r="H35" s="42" t="s">
        <v>29</v>
      </c>
      <c r="I35" s="42" t="s">
        <v>29</v>
      </c>
      <c r="J35" s="42" t="s">
        <v>28</v>
      </c>
      <c r="K35" s="42" t="s">
        <v>28</v>
      </c>
      <c r="L35" s="42" t="s">
        <v>29</v>
      </c>
      <c r="M35" s="48" t="s">
        <v>29</v>
      </c>
    </row>
    <row r="36" spans="1:14" ht="18.75" customHeight="1" thickBot="1">
      <c r="A36" s="3" t="s">
        <v>48</v>
      </c>
      <c r="B36" s="6">
        <f>1.2*(SDL+SW) +1.6*LL</f>
        <v>270.5</v>
      </c>
      <c r="E36" s="3" t="s">
        <v>49</v>
      </c>
      <c r="F36" s="49" t="s">
        <v>50</v>
      </c>
      <c r="G36" s="50" t="s">
        <v>51</v>
      </c>
      <c r="H36" s="50" t="s">
        <v>50</v>
      </c>
      <c r="I36" s="50" t="s">
        <v>51</v>
      </c>
      <c r="J36" s="50" t="s">
        <v>50</v>
      </c>
      <c r="K36" s="50" t="s">
        <v>51</v>
      </c>
      <c r="L36" s="50" t="s">
        <v>50</v>
      </c>
      <c r="M36" s="51" t="s">
        <v>51</v>
      </c>
    </row>
    <row r="37" spans="1:14" ht="18" customHeight="1">
      <c r="A37" s="3" t="s">
        <v>52</v>
      </c>
      <c r="B37" s="6">
        <f>(q_u*l_2*(l_1-c_1 / 12)^2 / 8) / 1000</f>
        <v>362.93961805555557</v>
      </c>
      <c r="C37" t="s">
        <v>53</v>
      </c>
      <c r="E37" s="3" t="s">
        <v>54</v>
      </c>
      <c r="F37" s="18">
        <v>0.35</v>
      </c>
      <c r="G37" s="19">
        <v>0.6</v>
      </c>
      <c r="H37" s="19">
        <v>0.35</v>
      </c>
      <c r="I37" s="19">
        <v>0.4</v>
      </c>
      <c r="J37" s="19">
        <v>0.52</v>
      </c>
      <c r="K37" s="19">
        <v>0.6</v>
      </c>
      <c r="L37" s="19">
        <v>0.52</v>
      </c>
      <c r="M37" s="20">
        <v>0.4</v>
      </c>
    </row>
    <row r="38" spans="1:14" ht="18" customHeight="1">
      <c r="A38" s="3" t="s">
        <v>55</v>
      </c>
      <c r="B38" s="6">
        <f>(q_u*l_1*(l_2 - c_2 / 12) ^2 / 8) / 1000</f>
        <v>278.97660590277781</v>
      </c>
      <c r="C38" t="s">
        <v>53</v>
      </c>
      <c r="E38" s="3" t="s">
        <v>56</v>
      </c>
      <c r="F38" s="13">
        <v>0.65</v>
      </c>
      <c r="G38" s="12">
        <v>0.75</v>
      </c>
      <c r="H38" s="12">
        <v>0.65</v>
      </c>
      <c r="I38" s="12">
        <v>0.25</v>
      </c>
      <c r="J38" s="12">
        <v>0.26</v>
      </c>
      <c r="K38" s="12">
        <v>1</v>
      </c>
      <c r="L38" s="12">
        <v>0.26</v>
      </c>
      <c r="M38" s="14">
        <v>0</v>
      </c>
      <c r="N38" t="s">
        <v>57</v>
      </c>
    </row>
    <row r="39" spans="1:14" ht="18.75" customHeight="1" thickBot="1">
      <c r="E39" s="3" t="s">
        <v>58</v>
      </c>
      <c r="F39" s="15">
        <v>0.65</v>
      </c>
      <c r="G39" s="16">
        <v>0.75</v>
      </c>
      <c r="H39" s="16">
        <v>0.65</v>
      </c>
      <c r="I39" s="16">
        <v>0.25</v>
      </c>
      <c r="J39" s="16">
        <v>0.7</v>
      </c>
      <c r="K39" s="16">
        <v>0.75</v>
      </c>
      <c r="L39" s="16">
        <v>0.7</v>
      </c>
      <c r="M39" s="17">
        <v>0.25</v>
      </c>
    </row>
    <row r="40" spans="1:14">
      <c r="A40" s="3" t="s">
        <v>59</v>
      </c>
      <c r="B40" s="6">
        <f>IF($D$3="interior", F37*B37,  IF($D$3="exterior", J37*B37, "ERROR"))</f>
        <v>127.02886631944445</v>
      </c>
      <c r="C40" t="s">
        <v>53</v>
      </c>
      <c r="E40" s="3"/>
      <c r="F40" s="56"/>
      <c r="G40" s="56"/>
      <c r="H40" s="56"/>
      <c r="I40" s="56"/>
      <c r="J40" s="56"/>
      <c r="K40" s="56"/>
      <c r="L40" s="56"/>
      <c r="M40" s="56"/>
    </row>
    <row r="41" spans="1:14">
      <c r="A41" s="3" t="s">
        <v>60</v>
      </c>
      <c r="B41" s="6">
        <f>IF($D$3="interior", F38*B37,  IF($D$3="exterior", J38*B37, "ERROR"))</f>
        <v>235.91075173611114</v>
      </c>
      <c r="C41" t="s">
        <v>53</v>
      </c>
      <c r="E41" s="3"/>
      <c r="F41" s="56"/>
      <c r="G41" s="56"/>
      <c r="H41" s="56"/>
      <c r="I41" s="56"/>
      <c r="J41" s="56"/>
      <c r="K41" s="56"/>
      <c r="L41" s="56"/>
      <c r="M41" s="56"/>
    </row>
    <row r="42" spans="1:14">
      <c r="A42" s="3" t="s">
        <v>61</v>
      </c>
      <c r="B42" s="6">
        <f>IF($D$3="interior", F39*B37,  IF($D$3="exterior", J39*B37, "ERROR"))</f>
        <v>235.91075173611114</v>
      </c>
      <c r="C42" t="s">
        <v>53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>
      <c r="A43" s="3" t="s">
        <v>62</v>
      </c>
      <c r="B43" s="6">
        <f>IF($D$4="interior", F37*B38,  IF($D$4="exterior", J37*B38, "ERROR"))</f>
        <v>97.641812065972232</v>
      </c>
      <c r="C43" t="s">
        <v>53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>
      <c r="A44" s="3" t="s">
        <v>63</v>
      </c>
      <c r="B44" s="6">
        <f>IF($D$4="interior", F38*B38,  IF($D$4="exterior", J38*B38, "ERROR"))</f>
        <v>181.33479383680557</v>
      </c>
      <c r="C44" t="s">
        <v>53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>
      <c r="A45" s="3" t="s">
        <v>64</v>
      </c>
      <c r="B45" s="6">
        <f>IF($D$4="interior", F39*B38,  IF($D$4="exterior", J39*B38, "ERROR"))</f>
        <v>181.33479383680557</v>
      </c>
      <c r="C45" t="s">
        <v>53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>
      <c r="E46" s="3"/>
      <c r="F46" s="56"/>
      <c r="G46" s="56"/>
      <c r="H46" s="56"/>
      <c r="I46" s="56"/>
      <c r="J46" s="56"/>
      <c r="K46" s="56"/>
      <c r="L46" s="56"/>
      <c r="M46" s="56"/>
    </row>
    <row r="47" spans="1:14">
      <c r="A47" s="21" t="s">
        <v>65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ht="18" customHeight="1">
      <c r="A48" s="3" t="s">
        <v>66</v>
      </c>
      <c r="B48" s="7">
        <f>((SW+SDL)*l_2*(l_1-c_1 / 12) ^ 2 / 8) / 1000</f>
        <v>186.16588541666667</v>
      </c>
      <c r="C48" t="s">
        <v>53</v>
      </c>
      <c r="D48" t="s">
        <v>67</v>
      </c>
      <c r="E48" s="3"/>
      <c r="F48" s="56"/>
      <c r="G48" s="56"/>
      <c r="H48" s="56"/>
      <c r="I48" s="56"/>
      <c r="J48" s="56"/>
      <c r="K48" s="56"/>
      <c r="L48" s="56"/>
      <c r="M48" s="56"/>
    </row>
    <row r="49" spans="1:13" ht="18" customHeight="1">
      <c r="A49" s="3" t="s">
        <v>68</v>
      </c>
      <c r="B49" s="7">
        <f>((LL)*l_2*(l_1-c_1 / 12) ^ 2 / 8) / 1000</f>
        <v>87.212847222222223</v>
      </c>
      <c r="C49" t="s">
        <v>53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>
      <c r="A50" s="3" t="s">
        <v>69</v>
      </c>
      <c r="B50" s="7">
        <f>((SW+SDL)*l_1*(l_2-c_2 / 12) ^ 2 / 8) / 1000</f>
        <v>143.09798177083334</v>
      </c>
      <c r="C50" t="s">
        <v>53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>
      <c r="A51" s="3" t="s">
        <v>70</v>
      </c>
      <c r="B51" s="7">
        <f>((LL)*l_1*(l_2-c_2 / 12) ^ 2 / 8) / 1000</f>
        <v>67.036892361111128</v>
      </c>
      <c r="C51" t="s">
        <v>53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>
      <c r="A52" s="3"/>
      <c r="B52" s="7"/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>
      <c r="A53" s="21" t="s">
        <v>71</v>
      </c>
    </row>
    <row r="54" spans="1:13">
      <c r="A54" s="56" t="s">
        <v>27</v>
      </c>
      <c r="B54" s="56" t="s">
        <v>72</v>
      </c>
      <c r="C54" s="56" t="s">
        <v>73</v>
      </c>
      <c r="D54" s="56" t="s">
        <v>28</v>
      </c>
      <c r="E54" s="56" t="s">
        <v>29</v>
      </c>
    </row>
    <row r="55" spans="1:13" ht="18" customHeight="1">
      <c r="A55" s="56" t="s">
        <v>30</v>
      </c>
      <c r="B55" s="56" t="s">
        <v>74</v>
      </c>
      <c r="C55" s="56" t="s">
        <v>75</v>
      </c>
      <c r="D55" s="7">
        <f>IF($D$3="interior", F37*G37*B48,  IF($D$3="exterior", J37*K37*B48, "ERROR"))</f>
        <v>39.094835937500001</v>
      </c>
      <c r="E55" s="7">
        <f>IF($D$3="interior", H37*I37*B48,  IF($D$3="exterior", L37*M37*B48, "ERROR"))</f>
        <v>26.063223958333332</v>
      </c>
      <c r="F55" s="1" t="s">
        <v>53</v>
      </c>
    </row>
    <row r="56" spans="1:13" ht="18" customHeight="1">
      <c r="A56" s="56" t="s">
        <v>30</v>
      </c>
      <c r="B56" s="56" t="s">
        <v>74</v>
      </c>
      <c r="C56" s="56" t="s">
        <v>76</v>
      </c>
      <c r="D56" s="7">
        <f>IF($D$3="interior", F38*G38*B48,  IF($D$3="exterior", J38*K38*B48, "ERROR"))</f>
        <v>90.755869140625009</v>
      </c>
      <c r="E56" s="7">
        <f>IF($D$3="interior", H38*I38*B48,  IF($D$3="exterior", L38*M38*B48, "ERROR"))</f>
        <v>30.251956380208334</v>
      </c>
      <c r="F56" s="1" t="s">
        <v>53</v>
      </c>
    </row>
    <row r="57" spans="1:13" ht="18" customHeight="1">
      <c r="A57" s="56" t="s">
        <v>30</v>
      </c>
      <c r="B57" s="56" t="s">
        <v>74</v>
      </c>
      <c r="C57" s="56" t="s">
        <v>77</v>
      </c>
      <c r="D57" s="7">
        <f>IF($D$3="interior", F39*G39*B48,  IF($D$3="exterior", J39*K39*B48, "ERROR"))</f>
        <v>90.755869140625009</v>
      </c>
      <c r="E57" s="7">
        <f>IF($D$4="interior", H39*I39*B48,  IF($D$4="exterior", L39*M39*B48, "ERROR"))</f>
        <v>30.251956380208334</v>
      </c>
      <c r="F57" s="1" t="s">
        <v>53</v>
      </c>
    </row>
    <row r="58" spans="1:13" ht="18" customHeight="1">
      <c r="A58" s="56" t="s">
        <v>30</v>
      </c>
      <c r="B58" s="56" t="s">
        <v>78</v>
      </c>
      <c r="C58" s="56" t="s">
        <v>75</v>
      </c>
      <c r="D58" s="7">
        <f>IF($D$3="interior", F37*G37*B49,  IF($D$3="exterior", J37*K37*B49, "ERROR"))</f>
        <v>18.314697916666667</v>
      </c>
      <c r="E58" s="7">
        <f>IF($D$3="interior", H37*I37*B49,  IF($D$3="exterior", L37*M37*B49, "ERROR"))</f>
        <v>12.209798611111109</v>
      </c>
      <c r="F58" s="1" t="s">
        <v>53</v>
      </c>
    </row>
    <row r="59" spans="1:13" ht="18" customHeight="1">
      <c r="A59" s="56" t="s">
        <v>30</v>
      </c>
      <c r="B59" s="56" t="s">
        <v>78</v>
      </c>
      <c r="C59" s="56" t="s">
        <v>76</v>
      </c>
      <c r="D59" s="7">
        <f>IF($D$3="interior", F38*G38*B49,  IF($D$3="exterior", J38*K38*B49, "ERROR"))</f>
        <v>42.516263020833335</v>
      </c>
      <c r="E59" s="7">
        <f>IF($D$3="interior", H38*I38*B49,  IF($D$3="exterior", L38*M38*B49, "ERROR"))</f>
        <v>14.172087673611111</v>
      </c>
      <c r="F59" s="1" t="s">
        <v>53</v>
      </c>
    </row>
    <row r="60" spans="1:13" ht="18" customHeight="1">
      <c r="A60" s="56" t="s">
        <v>30</v>
      </c>
      <c r="B60" s="56" t="s">
        <v>78</v>
      </c>
      <c r="C60" s="56" t="s">
        <v>77</v>
      </c>
      <c r="D60" s="7">
        <f>IF($D$3="interior", F39*G39*B49,  IF($D$3="exterior", J39*K39*B49, "ERROR"))</f>
        <v>42.516263020833335</v>
      </c>
      <c r="E60" s="7">
        <f>IF($D$3="interior", H39*I39*B49,  IF($D$3="exterior", L39*M39*B49, "ERROR"))</f>
        <v>14.172087673611111</v>
      </c>
      <c r="F60" s="1" t="s">
        <v>53</v>
      </c>
    </row>
    <row r="61" spans="1:13" ht="18" customHeight="1">
      <c r="A61" s="56" t="s">
        <v>32</v>
      </c>
      <c r="B61" s="56" t="s">
        <v>74</v>
      </c>
      <c r="C61" s="56" t="s">
        <v>75</v>
      </c>
      <c r="D61" s="7">
        <f>IF($D$4="interior", F37*G37*B50,  IF($D$4="exterior", J37*K37*B50, "ERROR"))</f>
        <v>30.050576171875001</v>
      </c>
      <c r="E61" s="7">
        <f>IF($D$4="interior", H37*I37*B50,  IF($D$4="exterior", L37*M37*B50, "ERROR"))</f>
        <v>20.033717447916665</v>
      </c>
      <c r="F61" s="1" t="s">
        <v>53</v>
      </c>
    </row>
    <row r="62" spans="1:13" ht="18" customHeight="1">
      <c r="A62" s="56" t="s">
        <v>32</v>
      </c>
      <c r="B62" s="56" t="s">
        <v>74</v>
      </c>
      <c r="C62" s="56" t="s">
        <v>76</v>
      </c>
      <c r="D62" s="7">
        <f>IF($D$4="interior", F38*G38*B50,  IF($D$4="exterior", J38*K38*B50, "ERROR"))</f>
        <v>69.760266113281261</v>
      </c>
      <c r="E62" s="7">
        <f>IF($D$4="interior", H38*I38*B50,  IF($D$4="exterior", L38*M38*B50, "ERROR"))</f>
        <v>23.253422037760419</v>
      </c>
      <c r="F62" s="1" t="s">
        <v>53</v>
      </c>
    </row>
    <row r="63" spans="1:13" ht="18" customHeight="1">
      <c r="A63" s="56" t="s">
        <v>32</v>
      </c>
      <c r="B63" s="56" t="s">
        <v>74</v>
      </c>
      <c r="C63" s="56" t="s">
        <v>77</v>
      </c>
      <c r="D63" s="7">
        <f>IF($D$4="interior", F39*G39*B50,  IF($D$4="exterior", J39*K39*B50, "ERROR"))</f>
        <v>69.760266113281261</v>
      </c>
      <c r="E63" s="7">
        <f>IF($D$4="interior", H39*I39*B50,  IF($D$4="exterior", L39*M39*B50, "ERROR"))</f>
        <v>23.253422037760419</v>
      </c>
      <c r="F63" s="1" t="s">
        <v>53</v>
      </c>
    </row>
    <row r="64" spans="1:13" ht="18" customHeight="1">
      <c r="A64" s="56" t="s">
        <v>32</v>
      </c>
      <c r="B64" s="56" t="s">
        <v>78</v>
      </c>
      <c r="C64" s="56" t="s">
        <v>75</v>
      </c>
      <c r="D64" s="7">
        <f>IF($D$4="interior", F37*G37*B51,  IF($D$4="exterior", J37*K37*B51, "ERROR"))</f>
        <v>14.077747395833336</v>
      </c>
      <c r="E64" s="7">
        <f>IF($D$4="interior", H37*I37*B51,  IF($D$4="exterior", L37*M37*B51, "ERROR"))</f>
        <v>9.3851649305555576</v>
      </c>
      <c r="F64" s="1" t="s">
        <v>53</v>
      </c>
    </row>
    <row r="65" spans="1:12" ht="18" customHeight="1">
      <c r="A65" s="56" t="s">
        <v>32</v>
      </c>
      <c r="B65" s="56" t="s">
        <v>78</v>
      </c>
      <c r="C65" s="56" t="s">
        <v>76</v>
      </c>
      <c r="D65" s="7">
        <f>IF($D$4="interior", F38*G38*B51,  IF($D$4="exterior", J38*K38*B51, "ERROR"))</f>
        <v>32.68048502604168</v>
      </c>
      <c r="E65" s="7">
        <f>IF($D$4="interior", H38*I38*B51,  IF($D$4="exterior", L38*M38*B51, "ERROR"))</f>
        <v>10.893495008680558</v>
      </c>
      <c r="F65" s="1" t="s">
        <v>53</v>
      </c>
    </row>
    <row r="66" spans="1:12" ht="18" customHeight="1">
      <c r="A66" s="56" t="s">
        <v>32</v>
      </c>
      <c r="B66" s="56" t="s">
        <v>78</v>
      </c>
      <c r="C66" s="56" t="s">
        <v>77</v>
      </c>
      <c r="D66" s="7">
        <f>IF($D$4="interior", F39*G39*B51,  IF($D$4="exterior", J39*K39*B51, "ERROR"))</f>
        <v>32.68048502604168</v>
      </c>
      <c r="E66" s="7">
        <f>IF($D$4="interior", H39*I39*B51,  IF($D$4="exterior", L39*M39*B51, "ERROR"))</f>
        <v>10.893495008680558</v>
      </c>
      <c r="F66" s="1" t="s">
        <v>53</v>
      </c>
    </row>
    <row r="69" spans="1:12" ht="18" customHeight="1">
      <c r="A69" s="52" t="s">
        <v>79</v>
      </c>
    </row>
    <row r="70" spans="1:12">
      <c r="A70" s="56" t="s">
        <v>27</v>
      </c>
      <c r="B70" s="56" t="s">
        <v>73</v>
      </c>
      <c r="C70" s="56" t="s">
        <v>28</v>
      </c>
      <c r="D70" s="56" t="s">
        <v>29</v>
      </c>
    </row>
    <row r="71" spans="1:12" ht="18" customHeight="1">
      <c r="A71" s="56" t="s">
        <v>30</v>
      </c>
      <c r="B71" s="56" t="s">
        <v>75</v>
      </c>
      <c r="C71" s="7">
        <f t="shared" ref="C71:D73" si="0">1.2*D55+1.6*D58</f>
        <v>76.217319791666668</v>
      </c>
      <c r="D71" s="7">
        <f t="shared" si="0"/>
        <v>50.811546527777779</v>
      </c>
      <c r="E71" t="s">
        <v>53</v>
      </c>
    </row>
    <row r="72" spans="1:12" ht="18" customHeight="1">
      <c r="A72" s="56" t="s">
        <v>30</v>
      </c>
      <c r="B72" s="56" t="s">
        <v>76</v>
      </c>
      <c r="C72" s="7">
        <f t="shared" si="0"/>
        <v>176.93306380208332</v>
      </c>
      <c r="D72" s="7">
        <f t="shared" si="0"/>
        <v>58.977687934027777</v>
      </c>
      <c r="E72" t="s">
        <v>53</v>
      </c>
    </row>
    <row r="73" spans="1:12" ht="18" customHeight="1">
      <c r="A73" s="56" t="s">
        <v>30</v>
      </c>
      <c r="B73" s="56" t="s">
        <v>77</v>
      </c>
      <c r="C73" s="7">
        <f t="shared" si="0"/>
        <v>176.93306380208332</v>
      </c>
      <c r="D73" s="7">
        <f t="shared" si="0"/>
        <v>58.977687934027777</v>
      </c>
      <c r="E73" t="s">
        <v>53</v>
      </c>
    </row>
    <row r="74" spans="1:12" ht="18" customHeight="1">
      <c r="A74" s="56" t="s">
        <v>32</v>
      </c>
      <c r="B74" s="56" t="s">
        <v>75</v>
      </c>
      <c r="C74" s="7">
        <f t="shared" ref="C74:D76" si="1">1.2*D61+1.6*D64</f>
        <v>58.585087239583345</v>
      </c>
      <c r="D74" s="7">
        <f t="shared" si="1"/>
        <v>39.056724826388887</v>
      </c>
      <c r="E74" t="s">
        <v>53</v>
      </c>
    </row>
    <row r="75" spans="1:12" ht="18" customHeight="1">
      <c r="A75" s="56" t="s">
        <v>32</v>
      </c>
      <c r="B75" s="56" t="s">
        <v>76</v>
      </c>
      <c r="C75" s="7">
        <f t="shared" si="1"/>
        <v>136.0010953776042</v>
      </c>
      <c r="D75" s="7">
        <f t="shared" si="1"/>
        <v>45.333698459201401</v>
      </c>
      <c r="E75" t="s">
        <v>53</v>
      </c>
    </row>
    <row r="76" spans="1:12" ht="18" customHeight="1">
      <c r="A76" s="56" t="s">
        <v>32</v>
      </c>
      <c r="B76" s="56" t="s">
        <v>77</v>
      </c>
      <c r="C76" s="7">
        <f t="shared" si="1"/>
        <v>136.0010953776042</v>
      </c>
      <c r="D76" s="7">
        <f t="shared" si="1"/>
        <v>45.333698459201401</v>
      </c>
      <c r="E76" t="s">
        <v>53</v>
      </c>
    </row>
    <row r="78" spans="1:12" ht="18" customHeight="1">
      <c r="A78" s="21" t="s">
        <v>80</v>
      </c>
      <c r="F78" t="s">
        <v>81</v>
      </c>
      <c r="K78" t="s">
        <v>82</v>
      </c>
    </row>
    <row r="79" spans="1:12">
      <c r="A79" s="56" t="s">
        <v>27</v>
      </c>
      <c r="B79" s="56" t="s">
        <v>73</v>
      </c>
      <c r="C79" t="s">
        <v>28</v>
      </c>
      <c r="D79" t="s">
        <v>29</v>
      </c>
      <c r="F79" s="56" t="s">
        <v>27</v>
      </c>
      <c r="G79" s="56" t="s">
        <v>73</v>
      </c>
      <c r="H79" t="s">
        <v>28</v>
      </c>
      <c r="I79" t="s">
        <v>29</v>
      </c>
      <c r="K79" s="56" t="s">
        <v>28</v>
      </c>
      <c r="L79" s="56" t="s">
        <v>29</v>
      </c>
    </row>
    <row r="80" spans="1:12" ht="18.75" customHeight="1">
      <c r="A80" s="56" t="s">
        <v>30</v>
      </c>
      <c r="B80" s="56" t="s">
        <v>75</v>
      </c>
      <c r="C80" s="10">
        <f t="shared" ref="C80:D85" si="2">IF(ISBLANK(K80),H80,K80)</f>
        <v>2.4750000000000005</v>
      </c>
      <c r="D80" s="10">
        <f t="shared" si="2"/>
        <v>2.4750000000000005</v>
      </c>
      <c r="E80" t="s">
        <v>83</v>
      </c>
      <c r="F80" s="56" t="s">
        <v>30</v>
      </c>
      <c r="G80" s="56" t="s">
        <v>75</v>
      </c>
      <c r="H80" s="10">
        <f>MAX(C71*12000/d*0.85/54000, 0.0025*l_1c*12*d)</f>
        <v>2.4750000000000005</v>
      </c>
      <c r="I80" s="10">
        <f>MAX(D71*12000/d*0.85/54000, 0.0025*l_1m*12*d)</f>
        <v>2.4750000000000005</v>
      </c>
      <c r="J80" t="s">
        <v>83</v>
      </c>
      <c r="K80" s="9"/>
      <c r="L80" s="9"/>
    </row>
    <row r="81" spans="1:17" ht="18.75" customHeight="1">
      <c r="A81" s="56" t="s">
        <v>30</v>
      </c>
      <c r="B81" s="56" t="s">
        <v>76</v>
      </c>
      <c r="C81" s="10">
        <f t="shared" si="2"/>
        <v>4.0509927065796854</v>
      </c>
      <c r="D81" s="10">
        <f t="shared" si="2"/>
        <v>2.4750000000000005</v>
      </c>
      <c r="E81" t="s">
        <v>83</v>
      </c>
      <c r="F81" s="56" t="s">
        <v>30</v>
      </c>
      <c r="G81" s="56" t="s">
        <v>76</v>
      </c>
      <c r="H81" s="10">
        <f>MAX(C72*12000/d*0.85/54000, 0.0025*l_1c*12*d)</f>
        <v>4.0509927065796854</v>
      </c>
      <c r="I81" s="10">
        <f>MAX(D72*12000/d*0.85/54000, 0.0025*l_1m*12*d)</f>
        <v>2.4750000000000005</v>
      </c>
      <c r="J81" t="s">
        <v>83</v>
      </c>
      <c r="K81" s="9"/>
      <c r="L81" s="9"/>
    </row>
    <row r="82" spans="1:17" ht="18.75" customHeight="1">
      <c r="A82" s="56" t="s">
        <v>30</v>
      </c>
      <c r="B82" s="56" t="s">
        <v>77</v>
      </c>
      <c r="C82" s="10">
        <f t="shared" si="2"/>
        <v>4.0509927065796854</v>
      </c>
      <c r="D82" s="10">
        <f t="shared" si="2"/>
        <v>2.4750000000000005</v>
      </c>
      <c r="E82" t="s">
        <v>83</v>
      </c>
      <c r="F82" s="56" t="s">
        <v>30</v>
      </c>
      <c r="G82" s="56" t="s">
        <v>77</v>
      </c>
      <c r="H82" s="10">
        <f>MAX(C73*12000/d*0.85/54000, 0.0025*l_1c*12*d)</f>
        <v>4.0509927065796854</v>
      </c>
      <c r="I82" s="10">
        <f>MAX(D73*12000/d*0.85/54000, 0.0025*l_1m*12*d)</f>
        <v>2.4750000000000005</v>
      </c>
      <c r="J82" t="s">
        <v>83</v>
      </c>
      <c r="K82" s="9"/>
      <c r="L82" s="9"/>
    </row>
    <row r="83" spans="1:17" ht="18.75" customHeight="1">
      <c r="A83" s="56" t="s">
        <v>32</v>
      </c>
      <c r="B83" s="56" t="s">
        <v>75</v>
      </c>
      <c r="C83" s="10">
        <f t="shared" si="2"/>
        <v>2.4750000000000005</v>
      </c>
      <c r="D83" s="10">
        <f t="shared" si="2"/>
        <v>3.7124999999999995</v>
      </c>
      <c r="E83" t="s">
        <v>83</v>
      </c>
      <c r="F83" s="56" t="s">
        <v>32</v>
      </c>
      <c r="G83" s="56" t="s">
        <v>75</v>
      </c>
      <c r="H83" s="10">
        <f>MAX(C74*12000/d*0.85/54000, 0.0025*l_2c*12*d)</f>
        <v>2.4750000000000005</v>
      </c>
      <c r="I83" s="10">
        <f>MAX(D74*12000/d*0.85/54000, 0.0025*l_2m*12*d)</f>
        <v>3.7124999999999995</v>
      </c>
      <c r="J83" t="s">
        <v>83</v>
      </c>
      <c r="K83" s="9"/>
      <c r="L83" s="9"/>
    </row>
    <row r="84" spans="1:17" ht="18.75" customHeight="1">
      <c r="A84" s="56" t="s">
        <v>32</v>
      </c>
      <c r="B84" s="56" t="s">
        <v>76</v>
      </c>
      <c r="C84" s="10">
        <f t="shared" si="2"/>
        <v>3.1138297931572678</v>
      </c>
      <c r="D84" s="10">
        <f t="shared" si="2"/>
        <v>3.7124999999999995</v>
      </c>
      <c r="E84" t="s">
        <v>83</v>
      </c>
      <c r="F84" s="56" t="s">
        <v>32</v>
      </c>
      <c r="G84" s="56" t="s">
        <v>76</v>
      </c>
      <c r="H84" s="10">
        <f>MAX(C75*12000/d*0.85/54000, 0.0025*l_2c*12*d)</f>
        <v>3.1138297931572678</v>
      </c>
      <c r="I84" s="10">
        <f>MAX(D75*12000/d*0.85/54000, 0.0025*l_2m*12*d)</f>
        <v>3.7124999999999995</v>
      </c>
      <c r="J84" t="s">
        <v>83</v>
      </c>
      <c r="K84" s="9"/>
      <c r="L84" s="9"/>
    </row>
    <row r="85" spans="1:17" ht="18.75" customHeight="1">
      <c r="A85" s="56" t="s">
        <v>32</v>
      </c>
      <c r="B85" s="56" t="s">
        <v>77</v>
      </c>
      <c r="C85" s="10">
        <f t="shared" si="2"/>
        <v>3.1138297931572678</v>
      </c>
      <c r="D85" s="10">
        <f t="shared" si="2"/>
        <v>3.7124999999999995</v>
      </c>
      <c r="E85" t="s">
        <v>83</v>
      </c>
      <c r="F85" s="56" t="s">
        <v>32</v>
      </c>
      <c r="G85" s="56" t="s">
        <v>77</v>
      </c>
      <c r="H85" s="10">
        <f>MAX(C76*12000/d*0.85/54000, 0.0025*l_2c*12*d)</f>
        <v>3.1138297931572678</v>
      </c>
      <c r="I85" s="10">
        <f>MAX(D76*12000/d*0.85/54000, 0.0025*l_2m*12*d)</f>
        <v>3.7124999999999995</v>
      </c>
      <c r="J85" t="s">
        <v>83</v>
      </c>
      <c r="K85" s="9"/>
      <c r="L85" s="9"/>
    </row>
    <row r="87" spans="1:17" ht="18" customHeight="1">
      <c r="A87" s="21" t="s">
        <v>84</v>
      </c>
    </row>
    <row r="88" spans="1:17">
      <c r="A88" s="56" t="s">
        <v>27</v>
      </c>
      <c r="B88" s="56" t="s">
        <v>73</v>
      </c>
      <c r="C88" t="s">
        <v>28</v>
      </c>
      <c r="D88" t="s">
        <v>29</v>
      </c>
    </row>
    <row r="89" spans="1:17" ht="18.75" customHeight="1">
      <c r="A89" s="56" t="s">
        <v>30</v>
      </c>
      <c r="B89" s="56" t="s">
        <v>75</v>
      </c>
      <c r="C89" s="7">
        <f>1/12*l_1c*12*h^3</f>
        <v>8573.75</v>
      </c>
      <c r="D89" s="7">
        <f>1/12*l_1m*12*h^3</f>
        <v>8573.75</v>
      </c>
      <c r="E89" t="s">
        <v>85</v>
      </c>
    </row>
    <row r="90" spans="1:17" ht="18.75" customHeight="1">
      <c r="A90" s="56" t="s">
        <v>30</v>
      </c>
      <c r="B90" s="56" t="s">
        <v>76</v>
      </c>
      <c r="C90" s="7">
        <f>1/12*l_1c*12*h^3</f>
        <v>8573.75</v>
      </c>
      <c r="D90" s="7">
        <f>1/12*l_1m*12*h^3</f>
        <v>8573.75</v>
      </c>
      <c r="E90" t="s">
        <v>85</v>
      </c>
    </row>
    <row r="91" spans="1:17" ht="18.75" customHeight="1">
      <c r="A91" s="56" t="s">
        <v>30</v>
      </c>
      <c r="B91" s="56" t="s">
        <v>77</v>
      </c>
      <c r="C91" s="7">
        <f>1/12*l_1c*12*h^3</f>
        <v>8573.75</v>
      </c>
      <c r="D91" s="7">
        <f>1/12*l_1m*12*h^3</f>
        <v>8573.75</v>
      </c>
      <c r="E91" t="s">
        <v>85</v>
      </c>
    </row>
    <row r="92" spans="1:17" ht="18.75" customHeight="1">
      <c r="A92" s="56" t="s">
        <v>32</v>
      </c>
      <c r="B92" s="56" t="s">
        <v>75</v>
      </c>
      <c r="C92" s="7">
        <f>1/12*l_2c*12*h^3</f>
        <v>8573.75</v>
      </c>
      <c r="D92" s="7">
        <f>1/12*l_2m*12*h^3</f>
        <v>12860.625</v>
      </c>
      <c r="E92" t="s">
        <v>85</v>
      </c>
    </row>
    <row r="93" spans="1:17" ht="18.75" customHeight="1">
      <c r="A93" s="56" t="s">
        <v>32</v>
      </c>
      <c r="B93" s="56" t="s">
        <v>76</v>
      </c>
      <c r="C93" s="7">
        <f>1/12*l_2c*12*h^3</f>
        <v>8573.75</v>
      </c>
      <c r="D93" s="7">
        <f>1/12*l_2m*12*h^3</f>
        <v>12860.625</v>
      </c>
      <c r="E93" t="s">
        <v>85</v>
      </c>
    </row>
    <row r="94" spans="1:17" ht="18.75" customHeight="1">
      <c r="A94" s="56" t="s">
        <v>32</v>
      </c>
      <c r="B94" s="56" t="s">
        <v>77</v>
      </c>
      <c r="C94" s="7">
        <f>1/12*l_2c*12*h^3</f>
        <v>8573.75</v>
      </c>
      <c r="D94" s="7">
        <f>1/12*l_2m*12*h^3</f>
        <v>12860.625</v>
      </c>
      <c r="E94" t="s">
        <v>85</v>
      </c>
    </row>
    <row r="95" spans="1:17" ht="15.75" customHeight="1" thickBot="1"/>
    <row r="96" spans="1:17">
      <c r="F96" s="38" t="s">
        <v>28</v>
      </c>
      <c r="G96" s="39" t="s">
        <v>29</v>
      </c>
      <c r="H96" s="39" t="s">
        <v>28</v>
      </c>
      <c r="I96" s="39" t="s">
        <v>29</v>
      </c>
      <c r="J96" s="39" t="s">
        <v>28</v>
      </c>
      <c r="K96" s="39" t="s">
        <v>29</v>
      </c>
      <c r="L96" s="39" t="s">
        <v>28</v>
      </c>
      <c r="M96" s="39" t="s">
        <v>29</v>
      </c>
      <c r="N96" s="39" t="s">
        <v>28</v>
      </c>
      <c r="O96" s="39" t="s">
        <v>29</v>
      </c>
      <c r="P96" s="39" t="s">
        <v>28</v>
      </c>
      <c r="Q96" s="40" t="s">
        <v>29</v>
      </c>
    </row>
    <row r="97" spans="1:17" ht="18" customHeight="1">
      <c r="A97" s="21" t="s">
        <v>86</v>
      </c>
      <c r="F97" s="41" t="s">
        <v>87</v>
      </c>
      <c r="G97" s="42" t="s">
        <v>87</v>
      </c>
      <c r="H97" s="42" t="s">
        <v>88</v>
      </c>
      <c r="I97" s="42" t="s">
        <v>88</v>
      </c>
      <c r="J97" s="42" t="s">
        <v>89</v>
      </c>
      <c r="K97" s="42" t="s">
        <v>89</v>
      </c>
      <c r="L97" s="42" t="s">
        <v>90</v>
      </c>
      <c r="M97" s="42" t="s">
        <v>90</v>
      </c>
      <c r="N97" s="42" t="s">
        <v>91</v>
      </c>
      <c r="O97" s="42" t="s">
        <v>91</v>
      </c>
      <c r="P97" s="43" t="s">
        <v>92</v>
      </c>
      <c r="Q97" s="44" t="s">
        <v>92</v>
      </c>
    </row>
    <row r="98" spans="1:17" ht="18" customHeight="1" thickBot="1">
      <c r="A98" s="56" t="s">
        <v>27</v>
      </c>
      <c r="B98" s="56" t="s">
        <v>73</v>
      </c>
      <c r="C98" s="56" t="s">
        <v>28</v>
      </c>
      <c r="D98" s="56" t="s">
        <v>29</v>
      </c>
      <c r="F98" s="15" t="s">
        <v>83</v>
      </c>
      <c r="G98" s="16" t="s">
        <v>83</v>
      </c>
      <c r="H98" s="16" t="s">
        <v>10</v>
      </c>
      <c r="I98" s="16" t="s">
        <v>10</v>
      </c>
      <c r="J98" s="16" t="s">
        <v>85</v>
      </c>
      <c r="K98" s="16" t="s">
        <v>85</v>
      </c>
      <c r="L98" s="16" t="s">
        <v>53</v>
      </c>
      <c r="M98" s="16" t="s">
        <v>53</v>
      </c>
      <c r="N98" s="16"/>
      <c r="O98" s="16"/>
      <c r="P98" s="26"/>
      <c r="Q98" s="29"/>
    </row>
    <row r="99" spans="1:17" ht="18.75" customHeight="1">
      <c r="A99" s="56" t="s">
        <v>30</v>
      </c>
      <c r="B99" s="56" t="s">
        <v>75</v>
      </c>
      <c r="C99" s="7">
        <f t="shared" ref="C99:D104" si="3">IF(N99&lt;1, J99/(1-N99^2*(1-J99/C89)), C89)</f>
        <v>1687.2288339349891</v>
      </c>
      <c r="D99" s="7">
        <f t="shared" si="3"/>
        <v>8573.75</v>
      </c>
      <c r="E99" t="s">
        <v>85</v>
      </c>
      <c r="F99" s="30">
        <f>l_1c*12/(n*C80)</f>
        <v>7.6925462324671399</v>
      </c>
      <c r="G99" s="24">
        <f>l_1m*12/(n*D80)</f>
        <v>7.6925462324671399</v>
      </c>
      <c r="H99" s="24">
        <f t="shared" ref="H99:I104" si="4">(SQRT(2*d*F99+1) - 1)/F99</f>
        <v>1.3403211524542247</v>
      </c>
      <c r="I99" s="24">
        <f t="shared" si="4"/>
        <v>1.3403211524542247</v>
      </c>
      <c r="J99" s="25">
        <f>MIN(l_1c * 12*H99^3/3+n*C80*(d-H99)^2,C89)</f>
        <v>841.09140392569111</v>
      </c>
      <c r="K99" s="25">
        <f>MIN(l_1m * 12*I99^3/3+n*D80*(d-I99)^2,D89)</f>
        <v>841.09140392569111</v>
      </c>
      <c r="L99" s="25">
        <f t="shared" ref="L99:M104" si="5">f_r*C89/y_t * 1 / 12000</f>
        <v>42.809333824529432</v>
      </c>
      <c r="M99" s="25">
        <f t="shared" si="5"/>
        <v>42.809333824529432</v>
      </c>
      <c r="N99" s="24">
        <f t="shared" ref="N99:O101" si="6">IF((D55+D58)=0, 1.1, L99/(D55+D58))</f>
        <v>0.74568335519453821</v>
      </c>
      <c r="O99" s="24">
        <f t="shared" si="6"/>
        <v>1.1185250327918075</v>
      </c>
      <c r="P99" s="24">
        <f>C80/(l_1c*d)</f>
        <v>3.0000000000000006E-2</v>
      </c>
      <c r="Q99" s="31">
        <f>D80/(l_1m*d)</f>
        <v>3.0000000000000006E-2</v>
      </c>
    </row>
    <row r="100" spans="1:17" ht="18.75" customHeight="1">
      <c r="A100" s="56" t="s">
        <v>30</v>
      </c>
      <c r="B100" s="56" t="s">
        <v>76</v>
      </c>
      <c r="C100" s="7">
        <f t="shared" si="3"/>
        <v>1415.8499431215773</v>
      </c>
      <c r="D100" s="7">
        <f t="shared" si="3"/>
        <v>5176.8048268949115</v>
      </c>
      <c r="E100" t="s">
        <v>85</v>
      </c>
      <c r="F100" s="32">
        <f>l_1c*12/(n*C81)</f>
        <v>4.6998484826775053</v>
      </c>
      <c r="G100" s="22">
        <f>l_1m*12/(n*D81)</f>
        <v>7.6925462324671399</v>
      </c>
      <c r="H100" s="22">
        <f t="shared" si="4"/>
        <v>1.6729694106081459</v>
      </c>
      <c r="I100" s="22">
        <f t="shared" si="4"/>
        <v>1.3403211524542247</v>
      </c>
      <c r="J100" s="23">
        <f>MIN(l_1c * 12*H100^3/3+n*C81*(d-H100)^2,C90)</f>
        <v>1291.7721637893619</v>
      </c>
      <c r="K100" s="23">
        <f>MIN(l_1m * 12*I100^3/3+n*D81*(d-I100)^2,D90)</f>
        <v>841.09140392569111</v>
      </c>
      <c r="L100" s="23">
        <f t="shared" si="5"/>
        <v>42.809333824529432</v>
      </c>
      <c r="M100" s="23">
        <f t="shared" si="5"/>
        <v>42.809333824529432</v>
      </c>
      <c r="N100" s="22">
        <f t="shared" si="6"/>
        <v>0.32121744531457036</v>
      </c>
      <c r="O100" s="22">
        <f t="shared" si="6"/>
        <v>0.96365233594371102</v>
      </c>
      <c r="P100" s="22">
        <f>C81/(l_1c*d)</f>
        <v>4.9102941897935577E-2</v>
      </c>
      <c r="Q100" s="33">
        <f>D81/(l_1m*d)</f>
        <v>3.0000000000000006E-2</v>
      </c>
    </row>
    <row r="101" spans="1:17" ht="18.75" customHeight="1">
      <c r="A101" s="56" t="s">
        <v>30</v>
      </c>
      <c r="B101" s="56" t="s">
        <v>77</v>
      </c>
      <c r="C101" s="7">
        <f t="shared" si="3"/>
        <v>1415.8499431215773</v>
      </c>
      <c r="D101" s="7">
        <f t="shared" si="3"/>
        <v>5176.8048268949115</v>
      </c>
      <c r="E101" t="s">
        <v>85</v>
      </c>
      <c r="F101" s="32">
        <f>l_1c*12/(n*C82)</f>
        <v>4.6998484826775053</v>
      </c>
      <c r="G101" s="22">
        <f>l_1m*12/(n*D82)</f>
        <v>7.6925462324671399</v>
      </c>
      <c r="H101" s="22">
        <f t="shared" si="4"/>
        <v>1.6729694106081459</v>
      </c>
      <c r="I101" s="22">
        <f t="shared" si="4"/>
        <v>1.3403211524542247</v>
      </c>
      <c r="J101" s="23">
        <f>MIN(l_1c * 12*H101^3/3+n*C82*(d-H101)^2,C91)</f>
        <v>1291.7721637893619</v>
      </c>
      <c r="K101" s="23">
        <f>MIN(l_1m * 12*I101^3/3+n*D82*(d-I101)^2,D91)</f>
        <v>841.09140392569111</v>
      </c>
      <c r="L101" s="23">
        <f t="shared" si="5"/>
        <v>42.809333824529432</v>
      </c>
      <c r="M101" s="23">
        <f t="shared" si="5"/>
        <v>42.809333824529432</v>
      </c>
      <c r="N101" s="22">
        <f t="shared" si="6"/>
        <v>0.32121744531457036</v>
      </c>
      <c r="O101" s="22">
        <f t="shared" si="6"/>
        <v>0.96365233594371102</v>
      </c>
      <c r="P101" s="22">
        <f>C82/(l_1c*d)</f>
        <v>4.9102941897935577E-2</v>
      </c>
      <c r="Q101" s="33">
        <f>D82/(l_1m*d)</f>
        <v>3.0000000000000006E-2</v>
      </c>
    </row>
    <row r="102" spans="1:17" ht="18.75" customHeight="1">
      <c r="A102" s="56" t="s">
        <v>32</v>
      </c>
      <c r="B102" s="56" t="s">
        <v>75</v>
      </c>
      <c r="C102" s="7">
        <f t="shared" si="3"/>
        <v>5562.3949754248479</v>
      </c>
      <c r="D102" s="7">
        <f t="shared" si="3"/>
        <v>12860.625</v>
      </c>
      <c r="E102" t="s">
        <v>85</v>
      </c>
      <c r="F102" s="32">
        <f>l_2c*12/(n*C83)</f>
        <v>7.6925462324671399</v>
      </c>
      <c r="G102" s="22">
        <f>l_2m*12/(n*D83)</f>
        <v>7.6925462324671434</v>
      </c>
      <c r="H102" s="22">
        <f t="shared" si="4"/>
        <v>1.3403211524542247</v>
      </c>
      <c r="I102" s="22">
        <f t="shared" si="4"/>
        <v>1.3403211524542245</v>
      </c>
      <c r="J102" s="23">
        <f>MIN(l_2c * 12*H102^3/3+n*C83*(d-H102)^2,C92)</f>
        <v>841.09140392569111</v>
      </c>
      <c r="K102" s="23">
        <f>MIN(l_2m * 12*I102^3/3+n*D83*(d-I102)^2,D92)</f>
        <v>1261.6371058885361</v>
      </c>
      <c r="L102" s="23">
        <f t="shared" si="5"/>
        <v>42.809333824529432</v>
      </c>
      <c r="M102" s="23">
        <f t="shared" si="5"/>
        <v>64.214000736794148</v>
      </c>
      <c r="N102" s="22">
        <f t="shared" ref="N102:O104" si="7">IF((D61+D64)=0, 1.1, L102/(D61+D64))</f>
        <v>0.97011013252848566</v>
      </c>
      <c r="O102" s="22">
        <f t="shared" si="7"/>
        <v>2.182747798189093</v>
      </c>
      <c r="P102" s="22">
        <f>C83/(l_2c*d)</f>
        <v>3.0000000000000006E-2</v>
      </c>
      <c r="Q102" s="33">
        <f>D83/(l_2m*d)</f>
        <v>2.9999999999999995E-2</v>
      </c>
    </row>
    <row r="103" spans="1:17" ht="18.75" customHeight="1">
      <c r="A103" s="56" t="s">
        <v>32</v>
      </c>
      <c r="B103" s="56" t="s">
        <v>76</v>
      </c>
      <c r="C103" s="7">
        <f t="shared" si="3"/>
        <v>1216.0484164407735</v>
      </c>
      <c r="D103" s="7">
        <f t="shared" si="3"/>
        <v>12860.625</v>
      </c>
      <c r="E103" t="s">
        <v>85</v>
      </c>
      <c r="F103" s="32">
        <f>l_2c*12/(n*C84)</f>
        <v>6.1143521611858969</v>
      </c>
      <c r="G103" s="22">
        <f>l_2m*12/(n*D84)</f>
        <v>7.6925462324671434</v>
      </c>
      <c r="H103" s="22">
        <f t="shared" si="4"/>
        <v>1.4873038771390279</v>
      </c>
      <c r="I103" s="22">
        <f t="shared" si="4"/>
        <v>1.3403211524542245</v>
      </c>
      <c r="J103" s="23">
        <f>MIN(l_2c * 12*H103^3/3+n*C84*(d-H103)^2,C93)</f>
        <v>1029.1755576397973</v>
      </c>
      <c r="K103" s="23">
        <f>MIN(l_2m * 12*I103^3/3+n*D84*(d-I103)^2,D93)</f>
        <v>1261.6371058885361</v>
      </c>
      <c r="L103" s="23">
        <f t="shared" si="5"/>
        <v>42.809333824529432</v>
      </c>
      <c r="M103" s="23">
        <f t="shared" si="5"/>
        <v>64.214000736794148</v>
      </c>
      <c r="N103" s="22">
        <f t="shared" si="7"/>
        <v>0.41789359555073224</v>
      </c>
      <c r="O103" s="22">
        <f t="shared" si="7"/>
        <v>1.8805211799782953</v>
      </c>
      <c r="P103" s="22">
        <f>C84/(l_2c*d)</f>
        <v>3.7743391432209304E-2</v>
      </c>
      <c r="Q103" s="33">
        <f>D84/(l_2m*d)</f>
        <v>2.9999999999999995E-2</v>
      </c>
    </row>
    <row r="104" spans="1:17" ht="19.5" customHeight="1" thickBot="1">
      <c r="A104" s="56" t="s">
        <v>32</v>
      </c>
      <c r="B104" s="56" t="s">
        <v>77</v>
      </c>
      <c r="C104" s="7">
        <f t="shared" si="3"/>
        <v>1216.0484164407735</v>
      </c>
      <c r="D104" s="7">
        <f t="shared" si="3"/>
        <v>12860.625</v>
      </c>
      <c r="E104" t="s">
        <v>85</v>
      </c>
      <c r="F104" s="34">
        <f>l_2c*12/(n*C85)</f>
        <v>6.1143521611858969</v>
      </c>
      <c r="G104" s="35">
        <f>l_2m*12/(n*D85)</f>
        <v>7.6925462324671434</v>
      </c>
      <c r="H104" s="35">
        <f t="shared" si="4"/>
        <v>1.4873038771390279</v>
      </c>
      <c r="I104" s="35">
        <f t="shared" si="4"/>
        <v>1.3403211524542245</v>
      </c>
      <c r="J104" s="36">
        <f>MIN(l_2c * 12*H104^3/3+n*C85*(d-H104)^2,C94)</f>
        <v>1029.1755576397973</v>
      </c>
      <c r="K104" s="36">
        <f>MIN(l_2m * 12*I104^3/3+n*D85*(d-I104)^2,D94)</f>
        <v>1261.6371058885361</v>
      </c>
      <c r="L104" s="36">
        <f t="shared" si="5"/>
        <v>42.809333824529432</v>
      </c>
      <c r="M104" s="36">
        <f t="shared" si="5"/>
        <v>64.214000736794148</v>
      </c>
      <c r="N104" s="35">
        <f t="shared" si="7"/>
        <v>0.41789359555073224</v>
      </c>
      <c r="O104" s="35">
        <f t="shared" si="7"/>
        <v>1.8805211799782953</v>
      </c>
      <c r="P104" s="35">
        <f>C85/(l_2c*d)</f>
        <v>3.7743391432209304E-2</v>
      </c>
      <c r="Q104" s="37">
        <f>D85/(l_2m*d)</f>
        <v>2.9999999999999995E-2</v>
      </c>
    </row>
    <row r="106" spans="1:17" ht="18" customHeight="1">
      <c r="A106" s="21" t="s">
        <v>93</v>
      </c>
    </row>
    <row r="107" spans="1:17">
      <c r="A107" s="56" t="s">
        <v>27</v>
      </c>
      <c r="B107" s="56" t="s">
        <v>28</v>
      </c>
      <c r="C107" t="s">
        <v>29</v>
      </c>
    </row>
    <row r="108" spans="1:17" ht="18.75" customHeight="1">
      <c r="A108" s="56" t="s">
        <v>30</v>
      </c>
      <c r="B108" s="7">
        <f>0.7*C99+ 0.15*SUM(C100:C101)</f>
        <v>1605.8151666909655</v>
      </c>
      <c r="C108" s="7">
        <f>0.7*D99+ 0.15*SUM(D100:D101)</f>
        <v>7554.6664480684731</v>
      </c>
      <c r="D108" t="s">
        <v>85</v>
      </c>
    </row>
    <row r="109" spans="1:17" ht="18.75" customHeight="1">
      <c r="A109" s="56" t="s">
        <v>32</v>
      </c>
      <c r="B109" s="7">
        <f>0.7*C102+ 0.15*SUM(C103:C104)</f>
        <v>4258.4910077296254</v>
      </c>
      <c r="C109" s="7">
        <f>0.7*D102+ 0.15*SUM(D103:D104)</f>
        <v>12860.625</v>
      </c>
      <c r="D109" t="s">
        <v>85</v>
      </c>
    </row>
    <row r="110" spans="1:17">
      <c r="A110" s="56"/>
      <c r="B110" s="56"/>
    </row>
    <row r="111" spans="1:17" ht="18" customHeight="1">
      <c r="A111" s="21" t="s">
        <v>94</v>
      </c>
      <c r="B111" s="56"/>
    </row>
    <row r="112" spans="1:17" ht="18.75" customHeight="1">
      <c r="A112" s="3" t="s">
        <v>95</v>
      </c>
      <c r="B112" s="7">
        <f>IF(l_1/l_2&lt;1.05, B108+C109, (B108+C108+B109+C109)/2)</f>
        <v>13139.798811244533</v>
      </c>
      <c r="C112" t="s">
        <v>85</v>
      </c>
    </row>
    <row r="113" spans="1:5">
      <c r="A113" s="56"/>
      <c r="B113" s="56"/>
    </row>
    <row r="114" spans="1:5" ht="18" customHeight="1">
      <c r="A114" s="21" t="s">
        <v>96</v>
      </c>
    </row>
    <row r="115" spans="1:5" ht="18.75" customHeight="1">
      <c r="A115" s="3" t="s">
        <v>97</v>
      </c>
      <c r="B115" s="7">
        <f>IF(l_1/l_2&lt;1.05, C89+D92, (C89+D89+C92+D92)/2)</f>
        <v>19290.9375</v>
      </c>
      <c r="C115" t="s">
        <v>85</v>
      </c>
    </row>
    <row r="117" spans="1:5" ht="18" customHeight="1">
      <c r="A117" s="52" t="s">
        <v>98</v>
      </c>
    </row>
    <row r="118" spans="1:5" ht="18" customHeight="1">
      <c r="A118" s="3" t="s">
        <v>99</v>
      </c>
      <c r="B118" s="10">
        <f>B112/B115</f>
        <v>0.68113842633332533</v>
      </c>
    </row>
    <row r="120" spans="1:5" ht="19.5" customHeight="1" thickBot="1">
      <c r="A120" s="52" t="s">
        <v>100</v>
      </c>
      <c r="D120" s="52" t="s">
        <v>101</v>
      </c>
    </row>
    <row r="121" spans="1:5" ht="18" customHeight="1">
      <c r="A121" s="3" t="s">
        <v>102</v>
      </c>
      <c r="B121">
        <f>IF(MAX(c_1, c_2)&gt;24, 2.1, 1.9)</f>
        <v>1.9</v>
      </c>
      <c r="D121" s="27">
        <v>1</v>
      </c>
      <c r="E121" s="28">
        <v>7.12</v>
      </c>
    </row>
    <row r="122" spans="1:5" ht="18.75" customHeight="1">
      <c r="A122" s="11" t="s">
        <v>103</v>
      </c>
      <c r="B122" s="4">
        <f>IF(B5=1,E121,
IF(AND(B5&gt;1,B5&lt;1.5),E121+(E122-E121)/(D122-D121)*(B5-D121),
IF(B5=1.5,E122,
IF(AND(B5&gt;1.5, B5&lt;2), E122+(E123-E122)/(D123-D122)*(B5-D122), E123)
)))</f>
        <v>8.02</v>
      </c>
      <c r="D122" s="13">
        <v>1.5</v>
      </c>
      <c r="E122" s="14">
        <v>8.92</v>
      </c>
    </row>
    <row r="123" spans="1:5" ht="18" customHeight="1" thickBot="1">
      <c r="A123" s="11" t="s">
        <v>104</v>
      </c>
      <c r="B123" s="4">
        <f>(SW+SDL+LLvib)/32.2</f>
        <v>4.6506211180124222</v>
      </c>
      <c r="C123" t="s">
        <v>105</v>
      </c>
      <c r="D123" s="15">
        <v>2</v>
      </c>
      <c r="E123" s="17">
        <v>9.2899999999999991</v>
      </c>
    </row>
    <row r="124" spans="1:5" ht="18" customHeight="1">
      <c r="A124" s="3" t="s">
        <v>106</v>
      </c>
      <c r="B124" s="4">
        <f>k_2*lambda_i_sq / (2 * PI() * l_1^2) * SQRT(k_1 * E_c*144*(h/12)^3 / (12*gamma*(1-nu^2)))</f>
        <v>7.9328615571404866</v>
      </c>
      <c r="C124" t="s">
        <v>107</v>
      </c>
    </row>
    <row r="126" spans="1:5">
      <c r="A126" s="21" t="s">
        <v>108</v>
      </c>
    </row>
    <row r="127" spans="1:5">
      <c r="A127" s="3" t="s">
        <v>109</v>
      </c>
      <c r="B127" s="6">
        <f>gamma*32.2*l_1*l_2</f>
        <v>74875</v>
      </c>
      <c r="C127" t="s">
        <v>110</v>
      </c>
    </row>
    <row r="128" spans="1:5">
      <c r="A128" s="11" t="s">
        <v>111</v>
      </c>
      <c r="B128">
        <v>0.03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2"/>
  <sheetViews>
    <sheetView tabSelected="1" topLeftCell="H1" workbookViewId="0">
      <selection activeCell="T13" sqref="T13"/>
    </sheetView>
  </sheetViews>
  <sheetFormatPr defaultRowHeight="15"/>
  <cols>
    <col min="1" max="1" width="7.5703125" style="8" bestFit="1" customWidth="1"/>
    <col min="28" max="28" width="13.85546875" style="8" bestFit="1" customWidth="1"/>
    <col min="32" max="32" width="9.85546875" bestFit="1" customWidth="1"/>
  </cols>
  <sheetData>
    <row r="1" spans="1:35" ht="18" customHeight="1">
      <c r="B1" s="56" t="s">
        <v>112</v>
      </c>
      <c r="C1" s="56" t="s">
        <v>113</v>
      </c>
      <c r="D1" s="56" t="s">
        <v>114</v>
      </c>
      <c r="E1" s="56" t="s">
        <v>115</v>
      </c>
      <c r="F1" s="56" t="s">
        <v>116</v>
      </c>
      <c r="G1" s="56" t="s">
        <v>117</v>
      </c>
      <c r="H1" s="56" t="s">
        <v>118</v>
      </c>
      <c r="I1" s="56" t="s">
        <v>119</v>
      </c>
      <c r="J1" s="56" t="s">
        <v>120</v>
      </c>
      <c r="K1" s="56" t="s">
        <v>121</v>
      </c>
      <c r="L1" s="56" t="s">
        <v>122</v>
      </c>
      <c r="M1" s="56" t="s">
        <v>123</v>
      </c>
      <c r="N1" s="56" t="s">
        <v>78</v>
      </c>
      <c r="O1" s="56" t="s">
        <v>124</v>
      </c>
      <c r="P1" s="56" t="s">
        <v>112</v>
      </c>
      <c r="Q1" s="56" t="s">
        <v>112</v>
      </c>
      <c r="R1" s="56" t="s">
        <v>112</v>
      </c>
      <c r="S1" s="56" t="s">
        <v>112</v>
      </c>
      <c r="T1" s="56" t="s">
        <v>112</v>
      </c>
      <c r="U1" s="56" t="s">
        <v>112</v>
      </c>
      <c r="V1" s="56" t="s">
        <v>113</v>
      </c>
      <c r="W1" s="56" t="s">
        <v>113</v>
      </c>
      <c r="X1" s="56" t="s">
        <v>113</v>
      </c>
      <c r="Y1" s="56" t="s">
        <v>113</v>
      </c>
      <c r="Z1" s="56" t="s">
        <v>113</v>
      </c>
      <c r="AA1" s="56" t="s">
        <v>113</v>
      </c>
      <c r="AB1" s="56" t="s">
        <v>125</v>
      </c>
      <c r="AC1" s="56" t="s">
        <v>126</v>
      </c>
      <c r="AD1" s="56" t="s">
        <v>127</v>
      </c>
      <c r="AE1" s="58" t="s">
        <v>128</v>
      </c>
      <c r="AF1" s="56" t="s">
        <v>129</v>
      </c>
      <c r="AG1" s="56" t="s">
        <v>130</v>
      </c>
      <c r="AH1" s="56" t="s">
        <v>131</v>
      </c>
      <c r="AI1" s="56" t="s">
        <v>132</v>
      </c>
    </row>
    <row r="2" spans="1:35" ht="18" customHeight="1">
      <c r="A2" t="s">
        <v>133</v>
      </c>
      <c r="B2" s="56" t="s">
        <v>3</v>
      </c>
      <c r="C2" s="56" t="s">
        <v>3</v>
      </c>
      <c r="D2" s="56" t="s">
        <v>134</v>
      </c>
      <c r="E2" s="56" t="s">
        <v>134</v>
      </c>
      <c r="F2" s="56" t="s">
        <v>10</v>
      </c>
      <c r="G2" s="56" t="s">
        <v>10</v>
      </c>
      <c r="H2" s="56"/>
      <c r="I2" s="56" t="s">
        <v>14</v>
      </c>
      <c r="J2" s="56" t="s">
        <v>14</v>
      </c>
      <c r="K2" s="56" t="s">
        <v>10</v>
      </c>
      <c r="L2" s="56" t="s">
        <v>21</v>
      </c>
      <c r="M2" s="56" t="s">
        <v>35</v>
      </c>
      <c r="N2" s="56" t="s">
        <v>35</v>
      </c>
      <c r="O2" s="56" t="s">
        <v>35</v>
      </c>
      <c r="P2" s="57" t="s">
        <v>135</v>
      </c>
      <c r="Q2" s="57" t="s">
        <v>136</v>
      </c>
      <c r="R2" s="57" t="s">
        <v>137</v>
      </c>
      <c r="S2" s="57" t="s">
        <v>138</v>
      </c>
      <c r="T2" s="57" t="s">
        <v>139</v>
      </c>
      <c r="U2" s="57" t="s">
        <v>140</v>
      </c>
      <c r="V2" s="57" t="s">
        <v>135</v>
      </c>
      <c r="W2" s="57" t="s">
        <v>136</v>
      </c>
      <c r="X2" s="57" t="s">
        <v>137</v>
      </c>
      <c r="Y2" s="57" t="s">
        <v>138</v>
      </c>
      <c r="Z2" s="57" t="s">
        <v>139</v>
      </c>
      <c r="AA2" s="57" t="s">
        <v>140</v>
      </c>
      <c r="AB2" s="57" t="s">
        <v>141</v>
      </c>
      <c r="AC2" s="56" t="s">
        <v>107</v>
      </c>
      <c r="AD2" s="56" t="s">
        <v>42</v>
      </c>
      <c r="AE2" s="58" t="s">
        <v>142</v>
      </c>
      <c r="AF2" s="56" t="s">
        <v>143</v>
      </c>
      <c r="AG2" s="56" t="s">
        <v>143</v>
      </c>
      <c r="AH2" s="56" t="s">
        <v>143</v>
      </c>
      <c r="AI2" s="56" t="s">
        <v>143</v>
      </c>
    </row>
    <row r="3" spans="1:35">
      <c r="A3">
        <v>1</v>
      </c>
      <c r="B3" s="59">
        <v>34</v>
      </c>
      <c r="C3" s="59">
        <v>34</v>
      </c>
      <c r="D3" s="56" t="s">
        <v>144</v>
      </c>
      <c r="E3" s="56" t="s">
        <v>4</v>
      </c>
      <c r="F3" s="59">
        <v>24</v>
      </c>
      <c r="G3" s="59">
        <v>24</v>
      </c>
      <c r="H3" s="56">
        <v>0.2</v>
      </c>
      <c r="I3" s="59">
        <v>5000</v>
      </c>
      <c r="J3" s="59">
        <v>60000</v>
      </c>
      <c r="K3" s="59">
        <v>12</v>
      </c>
      <c r="L3" s="59">
        <v>150</v>
      </c>
      <c r="M3" s="59">
        <v>0</v>
      </c>
      <c r="N3" s="59">
        <v>80</v>
      </c>
      <c r="O3" s="59">
        <v>11</v>
      </c>
      <c r="S3" s="56">
        <v>2.5000000000000001E-3</v>
      </c>
      <c r="T3" s="56">
        <v>2.5000000000000001E-3</v>
      </c>
      <c r="U3" s="56">
        <v>2.5000000000000001E-3</v>
      </c>
      <c r="V3" s="56"/>
      <c r="W3" s="56"/>
      <c r="X3" s="56"/>
      <c r="Y3" s="56">
        <v>2.5000000000000001E-3</v>
      </c>
      <c r="Z3" s="56">
        <v>2.5000000000000001E-3</v>
      </c>
      <c r="AA3" s="56">
        <v>2.5000000000000001E-3</v>
      </c>
      <c r="AB3" s="10">
        <v>0.26403526688453149</v>
      </c>
      <c r="AC3" s="56">
        <v>3.43</v>
      </c>
      <c r="AD3" s="56">
        <v>186.11600000000001</v>
      </c>
      <c r="AE3" s="56">
        <v>0.03</v>
      </c>
      <c r="AF3" s="56">
        <v>3382</v>
      </c>
      <c r="AG3" s="56">
        <v>12010</v>
      </c>
      <c r="AH3" s="56">
        <v>12430</v>
      </c>
      <c r="AI3" s="56">
        <v>12863</v>
      </c>
    </row>
    <row r="4" spans="1:35">
      <c r="A4">
        <v>2</v>
      </c>
      <c r="B4" s="59">
        <v>34</v>
      </c>
      <c r="C4" s="59">
        <v>34</v>
      </c>
      <c r="D4" s="56" t="s">
        <v>144</v>
      </c>
      <c r="E4" s="56" t="s">
        <v>4</v>
      </c>
      <c r="F4" s="59">
        <v>26</v>
      </c>
      <c r="G4" s="59">
        <v>26</v>
      </c>
      <c r="H4" s="56">
        <v>0.2</v>
      </c>
      <c r="I4" s="59">
        <v>5000</v>
      </c>
      <c r="J4" s="59">
        <v>60000</v>
      </c>
      <c r="K4" s="59">
        <v>12</v>
      </c>
      <c r="L4" s="59">
        <v>150</v>
      </c>
      <c r="M4" s="59">
        <v>0</v>
      </c>
      <c r="N4" s="59">
        <v>80</v>
      </c>
      <c r="O4" s="59">
        <v>11</v>
      </c>
      <c r="S4" s="56">
        <v>2.5000000000000001E-3</v>
      </c>
      <c r="T4" s="56">
        <v>2.5000000000000001E-3</v>
      </c>
      <c r="U4" s="56">
        <v>2.5000000000000001E-3</v>
      </c>
      <c r="V4" s="56"/>
      <c r="W4" s="56"/>
      <c r="X4" s="56"/>
      <c r="Y4" s="56">
        <v>2.5000000000000001E-3</v>
      </c>
      <c r="Z4" s="56">
        <v>2.5000000000000001E-3</v>
      </c>
      <c r="AA4" s="56">
        <v>2.5000000000000001E-3</v>
      </c>
      <c r="AB4" s="10">
        <v>0.27690206290849673</v>
      </c>
      <c r="AC4" s="56">
        <v>3.88</v>
      </c>
      <c r="AD4" s="56">
        <v>186.11600000000001</v>
      </c>
      <c r="AE4" s="56">
        <v>0.03</v>
      </c>
      <c r="AF4" s="56">
        <v>2972</v>
      </c>
      <c r="AG4" s="56">
        <v>10796</v>
      </c>
      <c r="AH4" s="56">
        <v>11223</v>
      </c>
      <c r="AI4" s="56">
        <v>11667</v>
      </c>
    </row>
    <row r="5" spans="1:35">
      <c r="A5">
        <v>3</v>
      </c>
      <c r="B5" s="59">
        <v>34</v>
      </c>
      <c r="C5" s="59">
        <v>34</v>
      </c>
      <c r="D5" s="56" t="s">
        <v>144</v>
      </c>
      <c r="E5" s="56" t="s">
        <v>4</v>
      </c>
      <c r="F5" s="59">
        <v>28</v>
      </c>
      <c r="G5" s="59">
        <v>28</v>
      </c>
      <c r="H5" s="56">
        <v>0.2</v>
      </c>
      <c r="I5" s="59">
        <v>5000</v>
      </c>
      <c r="J5" s="59">
        <v>60000</v>
      </c>
      <c r="K5" s="59">
        <v>12</v>
      </c>
      <c r="L5" s="59">
        <v>150</v>
      </c>
      <c r="M5" s="59">
        <v>0</v>
      </c>
      <c r="N5" s="59">
        <v>80</v>
      </c>
      <c r="O5" s="59">
        <v>11</v>
      </c>
      <c r="S5" s="56">
        <v>2.5000000000000001E-3</v>
      </c>
      <c r="T5" s="56">
        <v>2.5000000000000001E-3</v>
      </c>
      <c r="U5" s="56">
        <v>2.5000000000000001E-3</v>
      </c>
      <c r="V5" s="56"/>
      <c r="W5" s="56"/>
      <c r="X5" s="56"/>
      <c r="Y5" s="56">
        <v>2.5000000000000001E-3</v>
      </c>
      <c r="Z5" s="56">
        <v>2.5000000000000001E-3</v>
      </c>
      <c r="AA5" s="56">
        <v>2.5000000000000001E-3</v>
      </c>
      <c r="AB5" s="10">
        <v>0.29151943763616561</v>
      </c>
      <c r="AC5" s="56">
        <v>3.99</v>
      </c>
      <c r="AD5" s="56">
        <v>186.11600000000001</v>
      </c>
      <c r="AE5" s="56">
        <v>0.03</v>
      </c>
      <c r="AF5" s="56">
        <v>2884</v>
      </c>
      <c r="AG5" s="56">
        <v>10529</v>
      </c>
      <c r="AH5" s="56">
        <v>10958</v>
      </c>
      <c r="AI5" s="56">
        <v>11404</v>
      </c>
    </row>
    <row r="6" spans="1:35">
      <c r="A6">
        <v>4</v>
      </c>
      <c r="B6" s="59">
        <v>34</v>
      </c>
      <c r="C6" s="59">
        <v>34</v>
      </c>
      <c r="D6" s="56" t="s">
        <v>144</v>
      </c>
      <c r="E6" s="56" t="s">
        <v>4</v>
      </c>
      <c r="F6" s="59">
        <v>30</v>
      </c>
      <c r="G6" s="59">
        <v>30</v>
      </c>
      <c r="H6" s="56">
        <v>0.2</v>
      </c>
      <c r="I6" s="59">
        <v>5000</v>
      </c>
      <c r="J6" s="59">
        <v>60000</v>
      </c>
      <c r="K6" s="59">
        <v>12</v>
      </c>
      <c r="L6" s="59">
        <v>150</v>
      </c>
      <c r="M6" s="59">
        <v>0</v>
      </c>
      <c r="N6" s="59">
        <v>80</v>
      </c>
      <c r="O6" s="59">
        <v>11</v>
      </c>
      <c r="S6" s="56">
        <v>2.5000000000000001E-3</v>
      </c>
      <c r="T6" s="56">
        <v>2.5000000000000001E-3</v>
      </c>
      <c r="U6" s="56">
        <v>2.5000000000000001E-3</v>
      </c>
      <c r="V6" s="56"/>
      <c r="W6" s="56"/>
      <c r="X6" s="56"/>
      <c r="Y6" s="56">
        <v>2.5000000000000001E-3</v>
      </c>
      <c r="Z6" s="56">
        <v>2.5000000000000001E-3</v>
      </c>
      <c r="AA6" s="56">
        <v>2.5000000000000001E-3</v>
      </c>
      <c r="AB6" s="10">
        <v>0.30930266203703699</v>
      </c>
      <c r="AC6" s="56">
        <v>4.1100000000000003</v>
      </c>
      <c r="AD6" s="56">
        <v>186.11600000000001</v>
      </c>
      <c r="AE6" s="56">
        <v>0.03</v>
      </c>
      <c r="AF6" s="56">
        <v>2794</v>
      </c>
      <c r="AG6" s="56">
        <v>10251</v>
      </c>
      <c r="AH6" s="56">
        <v>10681</v>
      </c>
      <c r="AI6" s="56">
        <v>11129</v>
      </c>
    </row>
    <row r="7" spans="1:35">
      <c r="A7">
        <v>5</v>
      </c>
      <c r="B7" s="59">
        <v>34</v>
      </c>
      <c r="C7" s="59">
        <v>34</v>
      </c>
      <c r="D7" s="56" t="s">
        <v>144</v>
      </c>
      <c r="E7" s="56" t="s">
        <v>4</v>
      </c>
      <c r="F7" s="59">
        <v>32</v>
      </c>
      <c r="G7" s="59">
        <v>32</v>
      </c>
      <c r="H7" s="56">
        <v>0.2</v>
      </c>
      <c r="I7" s="59">
        <v>5000</v>
      </c>
      <c r="J7" s="59">
        <v>60000</v>
      </c>
      <c r="K7" s="59">
        <v>12</v>
      </c>
      <c r="L7" s="59">
        <v>150</v>
      </c>
      <c r="M7" s="59">
        <v>0</v>
      </c>
      <c r="N7" s="59">
        <v>80</v>
      </c>
      <c r="O7" s="59">
        <v>11</v>
      </c>
      <c r="S7" s="56">
        <v>2.5000000000000001E-3</v>
      </c>
      <c r="T7" s="56">
        <v>2.5000000000000001E-3</v>
      </c>
      <c r="U7" s="56">
        <v>2.5000000000000001E-3</v>
      </c>
      <c r="V7" s="56"/>
      <c r="W7" s="56"/>
      <c r="X7" s="56"/>
      <c r="Y7" s="56">
        <v>2.5000000000000001E-3</v>
      </c>
      <c r="Z7" s="56">
        <v>2.5000000000000001E-3</v>
      </c>
      <c r="AA7" s="56">
        <v>2.5000000000000001E-3</v>
      </c>
      <c r="AB7" s="10">
        <v>0.3332839733115468</v>
      </c>
      <c r="AC7" s="56">
        <v>4.26</v>
      </c>
      <c r="AD7" s="56">
        <v>186.11600000000001</v>
      </c>
      <c r="AE7" s="56">
        <v>0.03</v>
      </c>
      <c r="AF7" s="56">
        <v>2688</v>
      </c>
      <c r="AG7" s="56">
        <v>9919</v>
      </c>
      <c r="AH7" s="56">
        <v>10350</v>
      </c>
      <c r="AI7" s="56">
        <v>10801</v>
      </c>
    </row>
    <row r="8" spans="1:35">
      <c r="A8">
        <v>6</v>
      </c>
      <c r="B8" s="59">
        <v>34</v>
      </c>
      <c r="C8" s="59">
        <v>34</v>
      </c>
      <c r="D8" s="56" t="s">
        <v>144</v>
      </c>
      <c r="E8" s="56" t="s">
        <v>4</v>
      </c>
      <c r="F8" s="59">
        <v>24</v>
      </c>
      <c r="G8" s="59">
        <v>24</v>
      </c>
      <c r="H8" s="56">
        <v>0.2</v>
      </c>
      <c r="I8" s="59">
        <v>5000</v>
      </c>
      <c r="J8" s="59">
        <v>60000</v>
      </c>
      <c r="K8" s="59">
        <v>13</v>
      </c>
      <c r="L8" s="59">
        <v>150</v>
      </c>
      <c r="M8" s="59">
        <v>0</v>
      </c>
      <c r="N8" s="59">
        <v>80</v>
      </c>
      <c r="O8" s="59">
        <v>11</v>
      </c>
      <c r="S8" s="56">
        <v>2.5000000000000001E-3</v>
      </c>
      <c r="T8" s="56">
        <v>2.5000000000000001E-3</v>
      </c>
      <c r="U8" s="56">
        <v>2.5000000000000001E-3</v>
      </c>
      <c r="V8" s="56"/>
      <c r="W8" s="56"/>
      <c r="X8" s="56"/>
      <c r="Y8" s="56">
        <v>2.5000000000000001E-3</v>
      </c>
      <c r="Z8" s="56">
        <v>2.5000000000000001E-3</v>
      </c>
      <c r="AA8" s="56">
        <v>2.5000000000000001E-3</v>
      </c>
      <c r="AB8" s="10">
        <v>0.47670620364668398</v>
      </c>
      <c r="AC8" s="56">
        <v>5.01</v>
      </c>
      <c r="AD8" s="56">
        <v>200.566</v>
      </c>
      <c r="AE8" s="56">
        <v>0.03</v>
      </c>
      <c r="AF8" s="56">
        <v>2083</v>
      </c>
      <c r="AG8" s="56">
        <v>7872</v>
      </c>
      <c r="AH8" s="56">
        <v>8276</v>
      </c>
      <c r="AI8" s="56">
        <v>8702</v>
      </c>
    </row>
    <row r="9" spans="1:35">
      <c r="A9">
        <v>7</v>
      </c>
      <c r="B9" s="59">
        <v>34</v>
      </c>
      <c r="C9" s="59">
        <v>34</v>
      </c>
      <c r="D9" s="56" t="s">
        <v>144</v>
      </c>
      <c r="E9" s="56" t="s">
        <v>4</v>
      </c>
      <c r="F9" s="59">
        <v>26</v>
      </c>
      <c r="G9" s="59">
        <v>26</v>
      </c>
      <c r="H9" s="56">
        <v>0.2</v>
      </c>
      <c r="I9" s="59">
        <v>5000</v>
      </c>
      <c r="J9" s="59">
        <v>60000</v>
      </c>
      <c r="K9" s="59">
        <v>13</v>
      </c>
      <c r="L9" s="59">
        <v>150</v>
      </c>
      <c r="M9" s="59">
        <v>0</v>
      </c>
      <c r="N9" s="59">
        <v>80</v>
      </c>
      <c r="O9" s="59">
        <v>11</v>
      </c>
      <c r="S9" s="56">
        <v>2.5000000000000001E-3</v>
      </c>
      <c r="T9" s="56">
        <v>2.5000000000000001E-3</v>
      </c>
      <c r="U9" s="56">
        <v>2.5000000000000001E-3</v>
      </c>
      <c r="V9" s="56"/>
      <c r="W9" s="56"/>
      <c r="X9" s="56"/>
      <c r="Y9" s="56">
        <v>2.5000000000000001E-3</v>
      </c>
      <c r="Z9" s="56">
        <v>2.5000000000000001E-3</v>
      </c>
      <c r="AA9" s="56">
        <v>2.5000000000000001E-3</v>
      </c>
      <c r="AB9" s="10">
        <v>0.47935821574874832</v>
      </c>
      <c r="AC9" s="56">
        <v>5.55</v>
      </c>
      <c r="AD9" s="56">
        <v>200.566</v>
      </c>
      <c r="AE9" s="56">
        <v>0.03</v>
      </c>
      <c r="AF9" s="56">
        <v>1853</v>
      </c>
      <c r="AG9" s="56">
        <v>7086</v>
      </c>
      <c r="AH9" s="56">
        <v>7490</v>
      </c>
      <c r="AI9" s="56">
        <v>7918</v>
      </c>
    </row>
    <row r="10" spans="1:35">
      <c r="A10">
        <v>8</v>
      </c>
      <c r="B10" s="59">
        <v>34</v>
      </c>
      <c r="C10" s="59">
        <v>34</v>
      </c>
      <c r="D10" s="56" t="s">
        <v>144</v>
      </c>
      <c r="E10" s="56" t="s">
        <v>4</v>
      </c>
      <c r="F10" s="59">
        <v>28</v>
      </c>
      <c r="G10" s="59">
        <v>28</v>
      </c>
      <c r="H10" s="56">
        <v>0.2</v>
      </c>
      <c r="I10" s="59">
        <v>5000</v>
      </c>
      <c r="J10" s="59">
        <v>60000</v>
      </c>
      <c r="K10" s="59">
        <v>13</v>
      </c>
      <c r="L10" s="59">
        <v>150</v>
      </c>
      <c r="M10" s="59">
        <v>0</v>
      </c>
      <c r="N10" s="59">
        <v>80</v>
      </c>
      <c r="O10" s="59">
        <v>11</v>
      </c>
      <c r="S10" s="56">
        <v>2.5000000000000001E-3</v>
      </c>
      <c r="T10" s="56">
        <v>2.5000000000000001E-3</v>
      </c>
      <c r="U10" s="56">
        <v>2.5000000000000001E-3</v>
      </c>
      <c r="V10" s="56"/>
      <c r="W10" s="56"/>
      <c r="X10" s="56"/>
      <c r="Y10" s="56">
        <v>2.5000000000000001E-3</v>
      </c>
      <c r="Z10" s="56">
        <v>2.5000000000000001E-3</v>
      </c>
      <c r="AA10" s="56">
        <v>2.5000000000000001E-3</v>
      </c>
      <c r="AB10" s="10">
        <v>0.48246740207234462</v>
      </c>
      <c r="AC10" s="56">
        <v>5.57</v>
      </c>
      <c r="AD10" s="56">
        <v>200.566</v>
      </c>
      <c r="AE10" s="56">
        <v>0.03</v>
      </c>
      <c r="AF10" s="56">
        <v>1845</v>
      </c>
      <c r="AG10" s="56">
        <v>7059</v>
      </c>
      <c r="AH10" s="56">
        <v>7464</v>
      </c>
      <c r="AI10" s="56">
        <v>7891</v>
      </c>
    </row>
    <row r="11" spans="1:35">
      <c r="A11">
        <v>9</v>
      </c>
      <c r="B11" s="59">
        <v>34</v>
      </c>
      <c r="C11" s="59">
        <v>34</v>
      </c>
      <c r="D11" s="56" t="s">
        <v>144</v>
      </c>
      <c r="E11" s="56" t="s">
        <v>4</v>
      </c>
      <c r="F11" s="59">
        <v>30</v>
      </c>
      <c r="G11" s="59">
        <v>30</v>
      </c>
      <c r="H11" s="56">
        <v>0.2</v>
      </c>
      <c r="I11" s="59">
        <v>5000</v>
      </c>
      <c r="J11" s="59">
        <v>60000</v>
      </c>
      <c r="K11" s="59">
        <v>13</v>
      </c>
      <c r="L11" s="59">
        <v>150</v>
      </c>
      <c r="M11" s="59">
        <v>0</v>
      </c>
      <c r="N11" s="59">
        <v>80</v>
      </c>
      <c r="O11" s="59">
        <v>11</v>
      </c>
      <c r="S11" s="56">
        <v>2.5000000000000001E-3</v>
      </c>
      <c r="T11" s="56">
        <v>2.5000000000000001E-3</v>
      </c>
      <c r="U11" s="56">
        <v>2.5000000000000001E-3</v>
      </c>
      <c r="V11" s="56"/>
      <c r="W11" s="56"/>
      <c r="X11" s="56"/>
      <c r="Y11" s="56">
        <v>2.5000000000000001E-3</v>
      </c>
      <c r="Z11" s="56">
        <v>2.5000000000000001E-3</v>
      </c>
      <c r="AA11" s="56">
        <v>2.5000000000000001E-3</v>
      </c>
      <c r="AB11" s="10">
        <v>0.48585905914482308</v>
      </c>
      <c r="AC11" s="56">
        <v>5.59</v>
      </c>
      <c r="AD11" s="56">
        <v>200.566</v>
      </c>
      <c r="AE11" s="56">
        <v>0.03</v>
      </c>
      <c r="AF11" s="56">
        <v>1837</v>
      </c>
      <c r="AG11" s="56">
        <v>7032</v>
      </c>
      <c r="AH11" s="56">
        <v>7437</v>
      </c>
      <c r="AI11" s="56">
        <v>7864</v>
      </c>
    </row>
    <row r="12" spans="1:35">
      <c r="A12">
        <v>10</v>
      </c>
      <c r="B12" s="59">
        <v>34</v>
      </c>
      <c r="C12" s="59">
        <v>34</v>
      </c>
      <c r="D12" s="56" t="s">
        <v>144</v>
      </c>
      <c r="E12" s="56" t="s">
        <v>4</v>
      </c>
      <c r="F12" s="59">
        <v>32</v>
      </c>
      <c r="G12" s="59">
        <v>32</v>
      </c>
      <c r="H12" s="56">
        <v>0.2</v>
      </c>
      <c r="I12" s="59">
        <v>5000</v>
      </c>
      <c r="J12" s="59">
        <v>60000</v>
      </c>
      <c r="K12" s="59">
        <v>13</v>
      </c>
      <c r="L12" s="59">
        <v>150</v>
      </c>
      <c r="M12" s="59">
        <v>0</v>
      </c>
      <c r="N12" s="59">
        <v>80</v>
      </c>
      <c r="O12" s="59">
        <v>11</v>
      </c>
      <c r="S12" s="56">
        <v>2.5000000000000001E-3</v>
      </c>
      <c r="T12" s="56">
        <v>2.5000000000000001E-3</v>
      </c>
      <c r="U12" s="56">
        <v>2.5000000000000001E-3</v>
      </c>
      <c r="V12" s="56"/>
      <c r="W12" s="56"/>
      <c r="X12" s="56"/>
      <c r="Y12" s="56">
        <v>2.5000000000000001E-3</v>
      </c>
      <c r="Z12" s="56">
        <v>2.5000000000000001E-3</v>
      </c>
      <c r="AA12" s="56">
        <v>2.5000000000000001E-3</v>
      </c>
      <c r="AB12" s="10">
        <v>0.49020187956839539</v>
      </c>
      <c r="AC12" s="56">
        <v>5.61</v>
      </c>
      <c r="AD12" s="56">
        <v>200.566</v>
      </c>
      <c r="AE12" s="56">
        <v>0.03</v>
      </c>
      <c r="AF12" s="56">
        <v>1830</v>
      </c>
      <c r="AG12" s="56">
        <v>7006</v>
      </c>
      <c r="AH12" s="56">
        <v>7410</v>
      </c>
      <c r="AI12" s="56">
        <v>7838</v>
      </c>
    </row>
    <row r="13" spans="1:35">
      <c r="A13">
        <v>11</v>
      </c>
      <c r="B13" s="59">
        <v>34</v>
      </c>
      <c r="C13" s="59">
        <v>34</v>
      </c>
      <c r="D13" s="56" t="s">
        <v>144</v>
      </c>
      <c r="E13" s="56" t="s">
        <v>4</v>
      </c>
      <c r="F13" s="59">
        <v>24</v>
      </c>
      <c r="G13" s="59">
        <v>24</v>
      </c>
      <c r="H13" s="56">
        <v>0.2</v>
      </c>
      <c r="I13" s="59">
        <v>5000</v>
      </c>
      <c r="J13" s="59">
        <v>60000</v>
      </c>
      <c r="K13" s="59">
        <v>13</v>
      </c>
      <c r="L13" s="59">
        <v>150</v>
      </c>
      <c r="M13" s="59">
        <v>0</v>
      </c>
      <c r="N13" s="59">
        <v>80</v>
      </c>
      <c r="O13" s="59">
        <v>11</v>
      </c>
      <c r="S13" s="56">
        <v>2.5000000000000001E-3</v>
      </c>
      <c r="T13" s="56">
        <v>2.5000000000000001E-3</v>
      </c>
      <c r="U13" s="56">
        <v>2.5000000000000001E-3</v>
      </c>
      <c r="V13" s="56"/>
      <c r="W13" s="56"/>
      <c r="X13" s="56"/>
      <c r="Y13" s="56">
        <v>2.5000000000000001E-3</v>
      </c>
      <c r="Z13" s="56">
        <v>2.5000000000000001E-3</v>
      </c>
      <c r="AA13" s="56">
        <v>2.5000000000000001E-3</v>
      </c>
      <c r="AB13" s="10">
        <v>0.47670620364668398</v>
      </c>
      <c r="AC13" s="56">
        <v>5.01</v>
      </c>
      <c r="AD13" s="56">
        <v>200.566</v>
      </c>
      <c r="AE13" s="56">
        <v>0.03</v>
      </c>
      <c r="AF13" s="56">
        <v>2083</v>
      </c>
      <c r="AG13" s="56">
        <v>7872</v>
      </c>
      <c r="AH13" s="56">
        <v>8276</v>
      </c>
      <c r="AI13" s="56">
        <v>8702</v>
      </c>
    </row>
    <row r="14" spans="1:35">
      <c r="A14">
        <v>12</v>
      </c>
      <c r="B14" s="59">
        <v>34</v>
      </c>
      <c r="C14" s="59">
        <v>34</v>
      </c>
      <c r="D14" s="56" t="s">
        <v>144</v>
      </c>
      <c r="E14" s="56" t="s">
        <v>4</v>
      </c>
      <c r="F14" s="59">
        <v>26</v>
      </c>
      <c r="G14" s="59">
        <v>26</v>
      </c>
      <c r="H14" s="56">
        <v>0.2</v>
      </c>
      <c r="I14" s="59">
        <v>5000</v>
      </c>
      <c r="J14" s="59">
        <v>60000</v>
      </c>
      <c r="K14" s="59">
        <v>13</v>
      </c>
      <c r="L14" s="59">
        <v>150</v>
      </c>
      <c r="M14" s="59">
        <v>0</v>
      </c>
      <c r="N14" s="59">
        <v>80</v>
      </c>
      <c r="O14" s="59">
        <v>11</v>
      </c>
      <c r="S14" s="56">
        <v>2.5000000000000001E-3</v>
      </c>
      <c r="T14" s="56">
        <v>2.5000000000000001E-3</v>
      </c>
      <c r="U14" s="56">
        <v>2.5000000000000001E-3</v>
      </c>
      <c r="V14" s="56"/>
      <c r="W14" s="56"/>
      <c r="X14" s="56"/>
      <c r="Y14" s="56">
        <v>2.5000000000000001E-3</v>
      </c>
      <c r="Z14" s="56">
        <v>2.5000000000000001E-3</v>
      </c>
      <c r="AA14" s="56">
        <v>2.5000000000000001E-3</v>
      </c>
      <c r="AB14" s="10">
        <v>0.47935821574874832</v>
      </c>
      <c r="AC14" s="56">
        <v>5.55</v>
      </c>
      <c r="AD14" s="56">
        <v>200.566</v>
      </c>
      <c r="AE14" s="56">
        <v>0.03</v>
      </c>
      <c r="AF14" s="56">
        <v>1853</v>
      </c>
      <c r="AG14" s="56">
        <v>7086</v>
      </c>
      <c r="AH14" s="56">
        <v>7490</v>
      </c>
      <c r="AI14" s="56">
        <v>7918</v>
      </c>
    </row>
    <row r="15" spans="1:35">
      <c r="A15">
        <v>13</v>
      </c>
      <c r="B15" s="59">
        <v>34</v>
      </c>
      <c r="C15" s="59">
        <v>34</v>
      </c>
      <c r="D15" s="56" t="s">
        <v>144</v>
      </c>
      <c r="E15" s="56" t="s">
        <v>4</v>
      </c>
      <c r="F15" s="59">
        <v>28</v>
      </c>
      <c r="G15" s="59">
        <v>28</v>
      </c>
      <c r="H15" s="56">
        <v>0.2</v>
      </c>
      <c r="I15" s="59">
        <v>5000</v>
      </c>
      <c r="J15" s="59">
        <v>60000</v>
      </c>
      <c r="K15" s="59">
        <v>13</v>
      </c>
      <c r="L15" s="59">
        <v>150</v>
      </c>
      <c r="M15" s="59">
        <v>0</v>
      </c>
      <c r="N15" s="59">
        <v>80</v>
      </c>
      <c r="O15" s="59">
        <v>11</v>
      </c>
      <c r="S15" s="56">
        <v>2.5000000000000001E-3</v>
      </c>
      <c r="T15" s="56">
        <v>2.5000000000000001E-3</v>
      </c>
      <c r="U15" s="56">
        <v>2.5000000000000001E-3</v>
      </c>
      <c r="V15" s="56"/>
      <c r="W15" s="56"/>
      <c r="X15" s="56"/>
      <c r="Y15" s="56">
        <v>2.5000000000000001E-3</v>
      </c>
      <c r="Z15" s="56">
        <v>2.5000000000000001E-3</v>
      </c>
      <c r="AA15" s="56">
        <v>2.5000000000000001E-3</v>
      </c>
      <c r="AB15" s="10">
        <v>0.48246740207234462</v>
      </c>
      <c r="AC15" s="56">
        <v>5.57</v>
      </c>
      <c r="AD15" s="56">
        <v>200.566</v>
      </c>
      <c r="AE15" s="56">
        <v>0.03</v>
      </c>
      <c r="AF15" s="56">
        <v>1845</v>
      </c>
      <c r="AG15" s="56">
        <v>7059</v>
      </c>
      <c r="AH15" s="56">
        <v>7464</v>
      </c>
      <c r="AI15" s="56">
        <v>7891</v>
      </c>
    </row>
    <row r="16" spans="1:35">
      <c r="A16">
        <v>14</v>
      </c>
      <c r="B16" s="59">
        <v>34</v>
      </c>
      <c r="C16" s="59">
        <v>34</v>
      </c>
      <c r="D16" s="56" t="s">
        <v>144</v>
      </c>
      <c r="E16" s="56" t="s">
        <v>4</v>
      </c>
      <c r="F16" s="59">
        <v>30</v>
      </c>
      <c r="G16" s="59">
        <v>30</v>
      </c>
      <c r="H16" s="56">
        <v>0.2</v>
      </c>
      <c r="I16" s="59">
        <v>5000</v>
      </c>
      <c r="J16" s="59">
        <v>60000</v>
      </c>
      <c r="K16" s="59">
        <v>14</v>
      </c>
      <c r="L16" s="59">
        <v>150</v>
      </c>
      <c r="M16" s="59">
        <v>0</v>
      </c>
      <c r="N16" s="59">
        <v>80</v>
      </c>
      <c r="O16" s="59">
        <v>11</v>
      </c>
      <c r="S16" s="56">
        <v>2.5000000000000001E-3</v>
      </c>
      <c r="T16" s="56">
        <v>2.5000000000000001E-3</v>
      </c>
      <c r="U16" s="56">
        <v>2.5000000000000001E-3</v>
      </c>
      <c r="V16" s="56"/>
      <c r="W16" s="56"/>
      <c r="X16" s="56"/>
      <c r="Y16" s="56">
        <v>2.5000000000000001E-3</v>
      </c>
      <c r="Z16" s="56">
        <v>2.5000000000000001E-3</v>
      </c>
      <c r="AA16" s="56">
        <v>2.5000000000000001E-3</v>
      </c>
      <c r="AB16" s="10">
        <v>0.57361837592179732</v>
      </c>
      <c r="AC16" s="56">
        <v>6.56</v>
      </c>
      <c r="AD16" s="56">
        <v>215.01599999999999</v>
      </c>
      <c r="AE16" s="56">
        <v>0.03</v>
      </c>
      <c r="AF16" s="56">
        <v>1417</v>
      </c>
      <c r="AG16" s="56">
        <v>4869</v>
      </c>
      <c r="AH16" s="56">
        <v>5870</v>
      </c>
      <c r="AI16" s="56">
        <v>6268</v>
      </c>
    </row>
    <row r="17" spans="1:35">
      <c r="A17">
        <v>15</v>
      </c>
      <c r="B17" s="59">
        <v>34</v>
      </c>
      <c r="C17" s="59">
        <v>34</v>
      </c>
      <c r="D17" s="56" t="s">
        <v>144</v>
      </c>
      <c r="E17" s="56" t="s">
        <v>4</v>
      </c>
      <c r="F17" s="59">
        <v>32</v>
      </c>
      <c r="G17" s="59">
        <v>32</v>
      </c>
      <c r="H17" s="56">
        <v>0.2</v>
      </c>
      <c r="I17" s="59">
        <v>5000</v>
      </c>
      <c r="J17" s="59">
        <v>60000</v>
      </c>
      <c r="K17" s="59">
        <v>14</v>
      </c>
      <c r="L17" s="59">
        <v>150</v>
      </c>
      <c r="M17" s="59">
        <v>0</v>
      </c>
      <c r="N17" s="59">
        <v>80</v>
      </c>
      <c r="O17" s="59">
        <v>11</v>
      </c>
      <c r="S17" s="56">
        <v>2.5000000000000001E-3</v>
      </c>
      <c r="T17" s="56">
        <v>2.5000000000000001E-3</v>
      </c>
      <c r="U17" s="56">
        <v>2.5000000000000001E-3</v>
      </c>
      <c r="V17" s="56"/>
      <c r="W17" s="56"/>
      <c r="X17" s="56"/>
      <c r="Y17" s="56">
        <v>2.5000000000000001E-3</v>
      </c>
      <c r="Z17" s="56">
        <v>2.5000000000000001E-3</v>
      </c>
      <c r="AA17" s="56">
        <v>2.5000000000000001E-3</v>
      </c>
      <c r="AB17" s="10">
        <v>0.57359961841879614</v>
      </c>
      <c r="AC17" s="56">
        <v>6.55</v>
      </c>
      <c r="AD17" s="56">
        <v>215.01599999999999</v>
      </c>
      <c r="AE17" s="56">
        <v>0.03</v>
      </c>
      <c r="AF17" s="56">
        <v>1420</v>
      </c>
      <c r="AG17" s="56">
        <v>4890</v>
      </c>
      <c r="AH17" s="56">
        <v>5880</v>
      </c>
      <c r="AI17" s="56">
        <v>6278</v>
      </c>
    </row>
    <row r="18" spans="1:35">
      <c r="A18">
        <v>16</v>
      </c>
      <c r="B18" s="59">
        <v>34</v>
      </c>
      <c r="C18" s="59">
        <v>34</v>
      </c>
      <c r="D18" s="56" t="s">
        <v>144</v>
      </c>
      <c r="E18" s="56" t="s">
        <v>4</v>
      </c>
      <c r="F18" s="59">
        <v>24</v>
      </c>
      <c r="G18" s="59">
        <v>24</v>
      </c>
      <c r="H18" s="56">
        <v>0.2</v>
      </c>
      <c r="I18" s="59">
        <v>5000</v>
      </c>
      <c r="J18" s="59">
        <v>60000</v>
      </c>
      <c r="K18" s="59">
        <v>14</v>
      </c>
      <c r="L18" s="59">
        <v>150</v>
      </c>
      <c r="M18" s="59">
        <v>0</v>
      </c>
      <c r="N18" s="59">
        <v>80</v>
      </c>
      <c r="O18" s="59">
        <v>11</v>
      </c>
      <c r="S18" s="56">
        <v>2.5000000000000001E-3</v>
      </c>
      <c r="T18" s="56">
        <v>2.5000000000000001E-3</v>
      </c>
      <c r="U18" s="56">
        <v>2.5000000000000001E-3</v>
      </c>
      <c r="V18" s="56"/>
      <c r="W18" s="56"/>
      <c r="X18" s="56"/>
      <c r="Y18" s="56">
        <v>2.5000000000000001E-3</v>
      </c>
      <c r="Z18" s="56">
        <v>2.5000000000000001E-3</v>
      </c>
      <c r="AA18" s="56">
        <v>2.5000000000000001E-3</v>
      </c>
      <c r="AB18" s="10">
        <v>0.53455614388612582</v>
      </c>
      <c r="AC18" s="56">
        <v>5.73</v>
      </c>
      <c r="AD18" s="56">
        <v>215.01599999999999</v>
      </c>
      <c r="AE18" s="56">
        <v>0.03</v>
      </c>
      <c r="AF18" s="56">
        <v>1665</v>
      </c>
      <c r="AG18" s="56">
        <v>6391</v>
      </c>
      <c r="AH18" s="56">
        <v>6768</v>
      </c>
      <c r="AI18" s="56">
        <v>7167</v>
      </c>
    </row>
    <row r="19" spans="1:35">
      <c r="A19">
        <v>17</v>
      </c>
      <c r="B19" s="59">
        <v>34</v>
      </c>
      <c r="C19" s="59">
        <v>34</v>
      </c>
      <c r="D19" s="56" t="s">
        <v>144</v>
      </c>
      <c r="E19" s="56" t="s">
        <v>4</v>
      </c>
      <c r="F19" s="59">
        <v>26</v>
      </c>
      <c r="G19" s="59">
        <v>26</v>
      </c>
      <c r="H19" s="56">
        <v>0.2</v>
      </c>
      <c r="I19" s="59">
        <v>5000</v>
      </c>
      <c r="J19" s="59">
        <v>60000</v>
      </c>
      <c r="K19" s="59">
        <v>14</v>
      </c>
      <c r="L19" s="59">
        <v>150</v>
      </c>
      <c r="M19" s="59">
        <v>0</v>
      </c>
      <c r="N19" s="59">
        <v>80</v>
      </c>
      <c r="O19" s="59">
        <v>11</v>
      </c>
      <c r="S19" s="56">
        <v>2.5000000000000001E-3</v>
      </c>
      <c r="T19" s="56">
        <v>2.5000000000000001E-3</v>
      </c>
      <c r="U19" s="56">
        <v>2.5000000000000001E-3</v>
      </c>
      <c r="V19" s="56"/>
      <c r="W19" s="56"/>
      <c r="X19" s="56"/>
      <c r="Y19" s="56">
        <v>2.5000000000000001E-3</v>
      </c>
      <c r="Z19" s="56">
        <v>2.5000000000000001E-3</v>
      </c>
      <c r="AA19" s="56">
        <v>2.5000000000000001E-3</v>
      </c>
      <c r="AB19" s="10">
        <v>0.55139716600926081</v>
      </c>
      <c r="AC19" s="56">
        <v>6.43</v>
      </c>
      <c r="AD19" s="56">
        <v>215.01599999999999</v>
      </c>
      <c r="AE19" s="56">
        <v>0.03</v>
      </c>
      <c r="AF19" s="56">
        <v>1452</v>
      </c>
      <c r="AG19" s="56">
        <v>5150</v>
      </c>
      <c r="AH19" s="56">
        <v>5999</v>
      </c>
      <c r="AI19" s="56">
        <v>6397</v>
      </c>
    </row>
    <row r="20" spans="1:35">
      <c r="A20">
        <v>18</v>
      </c>
      <c r="B20" s="59">
        <v>34</v>
      </c>
      <c r="C20" s="59">
        <v>34</v>
      </c>
      <c r="D20" s="56" t="s">
        <v>144</v>
      </c>
      <c r="E20" s="56" t="s">
        <v>4</v>
      </c>
      <c r="F20" s="59">
        <v>28</v>
      </c>
      <c r="G20" s="59">
        <v>28</v>
      </c>
      <c r="H20" s="56">
        <v>0.2</v>
      </c>
      <c r="I20" s="59">
        <v>5000</v>
      </c>
      <c r="J20" s="59">
        <v>60000</v>
      </c>
      <c r="K20" s="59">
        <v>14</v>
      </c>
      <c r="L20" s="59">
        <v>150</v>
      </c>
      <c r="M20" s="59">
        <v>0</v>
      </c>
      <c r="N20" s="59">
        <v>80</v>
      </c>
      <c r="O20" s="59">
        <v>11</v>
      </c>
      <c r="S20" s="56">
        <v>2.5000000000000001E-3</v>
      </c>
      <c r="T20" s="56">
        <v>2.5000000000000001E-3</v>
      </c>
      <c r="U20" s="56">
        <v>2.5000000000000001E-3</v>
      </c>
      <c r="V20" s="56"/>
      <c r="W20" s="56"/>
      <c r="X20" s="56"/>
      <c r="Y20" s="56">
        <v>2.5000000000000001E-3</v>
      </c>
      <c r="Z20" s="56">
        <v>2.5000000000000001E-3</v>
      </c>
      <c r="AA20" s="56">
        <v>2.5000000000000001E-3</v>
      </c>
      <c r="AB20" s="10">
        <v>0.57369233407648768</v>
      </c>
      <c r="AC20" s="56">
        <v>6.56</v>
      </c>
      <c r="AD20" s="56">
        <v>215.01599999999999</v>
      </c>
      <c r="AE20" s="56">
        <v>0.03</v>
      </c>
      <c r="AF20" s="56">
        <v>1417</v>
      </c>
      <c r="AG20" s="56">
        <v>4869</v>
      </c>
      <c r="AH20" s="56">
        <v>5870</v>
      </c>
      <c r="AI20" s="56">
        <v>6268</v>
      </c>
    </row>
    <row r="21" spans="1:35">
      <c r="A21">
        <v>19</v>
      </c>
      <c r="B21" s="59">
        <v>34</v>
      </c>
      <c r="C21" s="59">
        <v>34</v>
      </c>
      <c r="D21" s="56" t="s">
        <v>144</v>
      </c>
      <c r="E21" s="56" t="s">
        <v>4</v>
      </c>
      <c r="F21" s="59">
        <v>30</v>
      </c>
      <c r="G21" s="59">
        <v>30</v>
      </c>
      <c r="H21" s="56">
        <v>0.2</v>
      </c>
      <c r="I21" s="59">
        <v>5000</v>
      </c>
      <c r="J21" s="59">
        <v>60000</v>
      </c>
      <c r="K21" s="59">
        <v>14</v>
      </c>
      <c r="L21" s="59">
        <v>150</v>
      </c>
      <c r="M21" s="59">
        <v>0</v>
      </c>
      <c r="N21" s="59">
        <v>80</v>
      </c>
      <c r="O21" s="59">
        <v>11</v>
      </c>
      <c r="S21" s="56">
        <v>2.5000000000000001E-3</v>
      </c>
      <c r="T21" s="56">
        <v>2.5000000000000001E-3</v>
      </c>
      <c r="U21" s="56">
        <v>2.5000000000000001E-3</v>
      </c>
      <c r="V21" s="56"/>
      <c r="W21" s="56"/>
      <c r="X21" s="56"/>
      <c r="Y21" s="56">
        <v>2.5000000000000001E-3</v>
      </c>
      <c r="Z21" s="56">
        <v>2.5000000000000001E-3</v>
      </c>
      <c r="AA21" s="56">
        <v>2.5000000000000001E-3</v>
      </c>
      <c r="AB21" s="10">
        <v>0.57361837592179732</v>
      </c>
      <c r="AC21" s="56">
        <v>6.56</v>
      </c>
      <c r="AD21" s="56">
        <v>215.01599999999999</v>
      </c>
      <c r="AE21" s="56">
        <v>0.03</v>
      </c>
      <c r="AF21" s="56">
        <v>1417</v>
      </c>
      <c r="AG21" s="56">
        <v>4869</v>
      </c>
      <c r="AH21" s="56">
        <v>5870</v>
      </c>
      <c r="AI21" s="56">
        <v>6268</v>
      </c>
    </row>
    <row r="22" spans="1:35">
      <c r="A22">
        <v>20</v>
      </c>
      <c r="B22" s="59">
        <v>34</v>
      </c>
      <c r="C22" s="59">
        <v>34</v>
      </c>
      <c r="D22" s="56" t="s">
        <v>144</v>
      </c>
      <c r="E22" s="56" t="s">
        <v>4</v>
      </c>
      <c r="F22" s="59">
        <v>32</v>
      </c>
      <c r="G22" s="59">
        <v>32</v>
      </c>
      <c r="H22" s="56">
        <v>0.2</v>
      </c>
      <c r="I22" s="59">
        <v>5000</v>
      </c>
      <c r="J22" s="59">
        <v>60000</v>
      </c>
      <c r="K22" s="59">
        <v>14</v>
      </c>
      <c r="L22" s="59">
        <v>150</v>
      </c>
      <c r="M22" s="59">
        <v>0</v>
      </c>
      <c r="N22" s="59">
        <v>80</v>
      </c>
      <c r="O22" s="59">
        <v>11</v>
      </c>
      <c r="S22" s="56">
        <v>2.5000000000000001E-3</v>
      </c>
      <c r="T22" s="56">
        <v>2.5000000000000001E-3</v>
      </c>
      <c r="U22" s="56">
        <v>2.5000000000000001E-3</v>
      </c>
      <c r="V22" s="56"/>
      <c r="W22" s="56"/>
      <c r="X22" s="56"/>
      <c r="Y22" s="56">
        <v>2.5000000000000001E-3</v>
      </c>
      <c r="Z22" s="56">
        <v>2.5000000000000001E-3</v>
      </c>
      <c r="AA22" s="56">
        <v>2.5000000000000001E-3</v>
      </c>
      <c r="AB22" s="10">
        <v>0.57359961841879614</v>
      </c>
      <c r="AC22" s="56">
        <v>6.55</v>
      </c>
      <c r="AD22" s="56">
        <v>215.01599999999999</v>
      </c>
      <c r="AE22" s="56">
        <v>0.03</v>
      </c>
      <c r="AF22" s="56">
        <v>1420</v>
      </c>
      <c r="AG22" s="56">
        <v>4890</v>
      </c>
      <c r="AH22" s="56">
        <v>5880</v>
      </c>
      <c r="AI22" s="56">
        <v>6278</v>
      </c>
    </row>
    <row r="23" spans="1:35">
      <c r="A23">
        <v>21</v>
      </c>
      <c r="B23" s="59">
        <v>34</v>
      </c>
      <c r="C23" s="59">
        <v>34</v>
      </c>
      <c r="D23" s="56" t="s">
        <v>144</v>
      </c>
      <c r="E23" s="56" t="s">
        <v>4</v>
      </c>
      <c r="F23" s="59">
        <v>24</v>
      </c>
      <c r="G23" s="59">
        <v>24</v>
      </c>
      <c r="H23" s="56">
        <v>0.2</v>
      </c>
      <c r="I23" s="59">
        <v>5000</v>
      </c>
      <c r="J23" s="59">
        <v>60000</v>
      </c>
      <c r="K23" s="59">
        <v>15</v>
      </c>
      <c r="L23" s="59">
        <v>150</v>
      </c>
      <c r="M23" s="59">
        <v>0</v>
      </c>
      <c r="N23" s="59">
        <v>80</v>
      </c>
      <c r="O23" s="59">
        <v>11</v>
      </c>
      <c r="S23" s="56">
        <v>2.5000000000000001E-3</v>
      </c>
      <c r="T23" s="56">
        <v>2.5000000000000001E-3</v>
      </c>
      <c r="U23" s="56">
        <v>2.5000000000000001E-3</v>
      </c>
      <c r="V23" s="56"/>
      <c r="W23" s="56"/>
      <c r="X23" s="56"/>
      <c r="Y23" s="56">
        <v>2.5000000000000001E-3</v>
      </c>
      <c r="Z23" s="56">
        <v>2.5000000000000001E-3</v>
      </c>
      <c r="AA23" s="56">
        <v>2.5000000000000001E-3</v>
      </c>
      <c r="AB23" s="10">
        <v>0.5767477124183007</v>
      </c>
      <c r="AC23" s="56">
        <v>6.38</v>
      </c>
      <c r="AD23" s="56">
        <v>229.46600000000001</v>
      </c>
      <c r="AE23" s="56">
        <v>0.03</v>
      </c>
      <c r="AF23" s="56">
        <v>1373</v>
      </c>
      <c r="AG23" s="56">
        <v>4926</v>
      </c>
      <c r="AH23" s="56">
        <v>5667</v>
      </c>
      <c r="AI23" s="56">
        <v>6040</v>
      </c>
    </row>
    <row r="24" spans="1:35">
      <c r="A24">
        <v>22</v>
      </c>
      <c r="B24" s="59">
        <v>34</v>
      </c>
      <c r="C24" s="59">
        <v>34</v>
      </c>
      <c r="D24" s="56" t="s">
        <v>144</v>
      </c>
      <c r="E24" s="56" t="s">
        <v>4</v>
      </c>
      <c r="F24" s="59">
        <v>26</v>
      </c>
      <c r="G24" s="59">
        <v>26</v>
      </c>
      <c r="H24" s="56">
        <v>0.2</v>
      </c>
      <c r="I24" s="59">
        <v>5000</v>
      </c>
      <c r="J24" s="59">
        <v>60000</v>
      </c>
      <c r="K24" s="59">
        <v>15</v>
      </c>
      <c r="L24" s="59">
        <v>150</v>
      </c>
      <c r="M24" s="59">
        <v>0</v>
      </c>
      <c r="N24" s="59">
        <v>80</v>
      </c>
      <c r="O24" s="59">
        <v>11</v>
      </c>
      <c r="S24" s="56">
        <v>2.5000000000000001E-3</v>
      </c>
      <c r="T24" s="56">
        <v>2.5000000000000001E-3</v>
      </c>
      <c r="U24" s="56">
        <v>2.5000000000000001E-3</v>
      </c>
      <c r="V24" s="56"/>
      <c r="W24" s="56"/>
      <c r="X24" s="56"/>
      <c r="Y24" s="56">
        <v>2.5000000000000001E-3</v>
      </c>
      <c r="Z24" s="56">
        <v>2.5000000000000001E-3</v>
      </c>
      <c r="AA24" s="56">
        <v>2.5000000000000001E-3</v>
      </c>
      <c r="AB24" s="10">
        <v>0.57726274509803921</v>
      </c>
      <c r="AC24" s="56">
        <v>7.06</v>
      </c>
      <c r="AD24" s="56">
        <v>229.46600000000001</v>
      </c>
      <c r="AE24" s="56">
        <v>0.03</v>
      </c>
      <c r="AF24" s="56">
        <v>1213</v>
      </c>
      <c r="AG24" s="56">
        <v>3549</v>
      </c>
      <c r="AH24" s="56">
        <v>5019</v>
      </c>
      <c r="AI24" s="56">
        <v>5438</v>
      </c>
    </row>
    <row r="25" spans="1:35">
      <c r="A25">
        <v>23</v>
      </c>
      <c r="B25" s="59">
        <v>34</v>
      </c>
      <c r="C25" s="59">
        <v>34</v>
      </c>
      <c r="D25" s="56" t="s">
        <v>144</v>
      </c>
      <c r="E25" s="56" t="s">
        <v>4</v>
      </c>
      <c r="F25" s="59">
        <v>28</v>
      </c>
      <c r="G25" s="59">
        <v>28</v>
      </c>
      <c r="H25" s="56">
        <v>0.2</v>
      </c>
      <c r="I25" s="59">
        <v>5000</v>
      </c>
      <c r="J25" s="59">
        <v>60000</v>
      </c>
      <c r="K25" s="59">
        <v>15</v>
      </c>
      <c r="L25" s="59">
        <v>150</v>
      </c>
      <c r="M25" s="59">
        <v>0</v>
      </c>
      <c r="N25" s="59">
        <v>80</v>
      </c>
      <c r="O25" s="59">
        <v>11</v>
      </c>
      <c r="S25" s="56">
        <v>2.5000000000000001E-3</v>
      </c>
      <c r="T25" s="56">
        <v>2.5000000000000001E-3</v>
      </c>
      <c r="U25" s="56">
        <v>2.5000000000000001E-3</v>
      </c>
      <c r="V25" s="56"/>
      <c r="W25" s="56"/>
      <c r="X25" s="56"/>
      <c r="Y25" s="56">
        <v>2.5000000000000001E-3</v>
      </c>
      <c r="Z25" s="56">
        <v>2.5000000000000001E-3</v>
      </c>
      <c r="AA25" s="56">
        <v>2.5000000000000001E-3</v>
      </c>
      <c r="AB25" s="10">
        <v>0.57781873638344228</v>
      </c>
      <c r="AC25" s="56">
        <v>7.06</v>
      </c>
      <c r="AD25" s="56">
        <v>229.46600000000001</v>
      </c>
      <c r="AE25" s="56">
        <v>0.03</v>
      </c>
      <c r="AF25" s="56">
        <v>1213</v>
      </c>
      <c r="AG25" s="56">
        <v>3549</v>
      </c>
      <c r="AH25" s="56">
        <v>5019</v>
      </c>
      <c r="AI25" s="56">
        <v>5438</v>
      </c>
    </row>
    <row r="26" spans="1:35">
      <c r="A26">
        <v>24</v>
      </c>
      <c r="B26" s="59">
        <v>34</v>
      </c>
      <c r="C26" s="59">
        <v>34</v>
      </c>
      <c r="D26" s="56" t="s">
        <v>144</v>
      </c>
      <c r="E26" s="56" t="s">
        <v>4</v>
      </c>
      <c r="F26" s="59">
        <v>30</v>
      </c>
      <c r="G26" s="59">
        <v>30</v>
      </c>
      <c r="H26" s="56">
        <v>0.2</v>
      </c>
      <c r="I26" s="59">
        <v>5000</v>
      </c>
      <c r="J26" s="59">
        <v>60000</v>
      </c>
      <c r="K26" s="59">
        <v>15</v>
      </c>
      <c r="L26" s="59">
        <v>150</v>
      </c>
      <c r="M26" s="59">
        <v>0</v>
      </c>
      <c r="N26" s="59">
        <v>80</v>
      </c>
      <c r="O26" s="59">
        <v>11</v>
      </c>
      <c r="S26" s="56">
        <v>2.5000000000000001E-3</v>
      </c>
      <c r="T26" s="56">
        <v>2.5000000000000001E-3</v>
      </c>
      <c r="U26" s="56">
        <v>2.5000000000000001E-3</v>
      </c>
      <c r="V26" s="56"/>
      <c r="W26" s="56"/>
      <c r="X26" s="56"/>
      <c r="Y26" s="56">
        <v>2.5000000000000001E-3</v>
      </c>
      <c r="Z26" s="56">
        <v>2.5000000000000001E-3</v>
      </c>
      <c r="AA26" s="56">
        <v>2.5000000000000001E-3</v>
      </c>
      <c r="AB26" s="10">
        <v>0.57840087145969499</v>
      </c>
      <c r="AC26" s="56">
        <v>7.07</v>
      </c>
      <c r="AD26" s="56">
        <v>229.46600000000001</v>
      </c>
      <c r="AE26" s="56">
        <v>0.03</v>
      </c>
      <c r="AF26" s="56">
        <v>1211</v>
      </c>
      <c r="AG26" s="56">
        <v>3528</v>
      </c>
      <c r="AH26" s="56">
        <v>5003</v>
      </c>
      <c r="AI26" s="56">
        <v>5430</v>
      </c>
    </row>
    <row r="27" spans="1:35">
      <c r="A27">
        <v>25</v>
      </c>
      <c r="B27" s="59">
        <v>34</v>
      </c>
      <c r="C27" s="59">
        <v>34</v>
      </c>
      <c r="D27" s="56" t="s">
        <v>144</v>
      </c>
      <c r="E27" s="56" t="s">
        <v>4</v>
      </c>
      <c r="F27" s="59">
        <v>32</v>
      </c>
      <c r="G27" s="59">
        <v>32</v>
      </c>
      <c r="H27" s="56">
        <v>0.2</v>
      </c>
      <c r="I27" s="59">
        <v>5000</v>
      </c>
      <c r="J27" s="59">
        <v>60000</v>
      </c>
      <c r="K27" s="59">
        <v>15</v>
      </c>
      <c r="L27" s="59">
        <v>150</v>
      </c>
      <c r="M27" s="59">
        <v>0</v>
      </c>
      <c r="N27" s="59">
        <v>80</v>
      </c>
      <c r="O27" s="59">
        <v>11</v>
      </c>
      <c r="S27" s="56">
        <v>2.5000000000000001E-3</v>
      </c>
      <c r="T27" s="56">
        <v>2.5000000000000001E-3</v>
      </c>
      <c r="U27" s="56">
        <v>2.5000000000000001E-3</v>
      </c>
      <c r="V27" s="56"/>
      <c r="W27" s="56"/>
      <c r="X27" s="56"/>
      <c r="Y27" s="56">
        <v>2.5000000000000001E-3</v>
      </c>
      <c r="Z27" s="56">
        <v>2.5000000000000001E-3</v>
      </c>
      <c r="AA27" s="56">
        <v>2.5000000000000001E-3</v>
      </c>
      <c r="AB27" s="10">
        <v>0.57902352941176471</v>
      </c>
      <c r="AC27" s="56">
        <v>7.07</v>
      </c>
      <c r="AD27" s="56">
        <v>229.46600000000001</v>
      </c>
      <c r="AE27" s="56">
        <v>0.03</v>
      </c>
      <c r="AF27" s="56">
        <v>1211</v>
      </c>
      <c r="AG27" s="56">
        <v>3528</v>
      </c>
      <c r="AH27" s="56">
        <v>5003</v>
      </c>
      <c r="AI27" s="56">
        <v>5430</v>
      </c>
    </row>
    <row r="28" spans="1:35">
      <c r="A28">
        <v>26</v>
      </c>
      <c r="B28" s="59">
        <v>34</v>
      </c>
      <c r="C28" s="59">
        <v>34</v>
      </c>
      <c r="D28" s="56" t="s">
        <v>144</v>
      </c>
      <c r="E28" s="56" t="s">
        <v>4</v>
      </c>
      <c r="F28" s="59">
        <v>24</v>
      </c>
      <c r="G28" s="59">
        <v>24</v>
      </c>
      <c r="H28" s="56">
        <v>0.2</v>
      </c>
      <c r="I28" s="59">
        <v>5000</v>
      </c>
      <c r="J28" s="59">
        <v>60000</v>
      </c>
      <c r="K28" s="59">
        <v>16</v>
      </c>
      <c r="L28" s="59">
        <v>150</v>
      </c>
      <c r="M28" s="59">
        <v>0</v>
      </c>
      <c r="N28" s="59">
        <v>80</v>
      </c>
      <c r="O28" s="59">
        <v>11</v>
      </c>
      <c r="S28" s="56">
        <v>2.5000000000000001E-3</v>
      </c>
      <c r="T28" s="56">
        <v>2.5000000000000001E-3</v>
      </c>
      <c r="U28" s="56">
        <v>2.5000000000000001E-3</v>
      </c>
      <c r="V28" s="56"/>
      <c r="W28" s="56"/>
      <c r="X28" s="56"/>
      <c r="Y28" s="56">
        <v>2.5000000000000001E-3</v>
      </c>
      <c r="Z28" s="56">
        <v>2.5000000000000001E-3</v>
      </c>
      <c r="AA28" s="56">
        <v>2.5000000000000001E-3</v>
      </c>
      <c r="AB28" s="10">
        <v>0.58291123334099271</v>
      </c>
      <c r="AC28" s="56">
        <v>6.86</v>
      </c>
      <c r="AD28" s="56">
        <v>243.916</v>
      </c>
      <c r="AE28" s="56">
        <v>0.03</v>
      </c>
      <c r="AF28" s="56">
        <v>1183</v>
      </c>
      <c r="AG28" s="56">
        <v>3720</v>
      </c>
      <c r="AH28" s="56">
        <v>4925</v>
      </c>
      <c r="AI28" s="56">
        <v>5275</v>
      </c>
    </row>
    <row r="29" spans="1:35">
      <c r="A29">
        <v>27</v>
      </c>
      <c r="B29" s="59">
        <v>34</v>
      </c>
      <c r="C29" s="59">
        <v>34</v>
      </c>
      <c r="D29" s="56" t="s">
        <v>144</v>
      </c>
      <c r="E29" s="56" t="s">
        <v>4</v>
      </c>
      <c r="F29" s="59">
        <v>26</v>
      </c>
      <c r="G29" s="59">
        <v>26</v>
      </c>
      <c r="H29" s="56">
        <v>0.2</v>
      </c>
      <c r="I29" s="59">
        <v>5000</v>
      </c>
      <c r="J29" s="59">
        <v>60000</v>
      </c>
      <c r="K29" s="59">
        <v>16</v>
      </c>
      <c r="L29" s="59">
        <v>150</v>
      </c>
      <c r="M29" s="59">
        <v>0</v>
      </c>
      <c r="N29" s="59">
        <v>80</v>
      </c>
      <c r="O29" s="59">
        <v>11</v>
      </c>
      <c r="S29" s="56">
        <v>2.5000000000000001E-3</v>
      </c>
      <c r="T29" s="56">
        <v>2.5000000000000001E-3</v>
      </c>
      <c r="U29" s="56">
        <v>2.5000000000000001E-3</v>
      </c>
      <c r="V29" s="56"/>
      <c r="W29" s="56"/>
      <c r="X29" s="56"/>
      <c r="Y29" s="56">
        <v>2.5000000000000001E-3</v>
      </c>
      <c r="Z29" s="56">
        <v>2.5000000000000001E-3</v>
      </c>
      <c r="AA29" s="56">
        <v>2.5000000000000001E-3</v>
      </c>
      <c r="AB29" s="10">
        <v>0.58371043485753682</v>
      </c>
      <c r="AC29" s="56">
        <v>7.59</v>
      </c>
      <c r="AD29" s="56">
        <v>243.916</v>
      </c>
      <c r="AE29" s="56">
        <v>0.03</v>
      </c>
      <c r="AF29" s="56">
        <v>1043</v>
      </c>
      <c r="AG29" s="56">
        <v>2328</v>
      </c>
      <c r="AH29" s="56">
        <v>3911</v>
      </c>
      <c r="AI29" s="56">
        <v>4730</v>
      </c>
    </row>
    <row r="30" spans="1:35">
      <c r="A30">
        <v>28</v>
      </c>
      <c r="B30" s="59">
        <v>34</v>
      </c>
      <c r="C30" s="59">
        <v>34</v>
      </c>
      <c r="D30" s="56" t="s">
        <v>144</v>
      </c>
      <c r="E30" s="56" t="s">
        <v>4</v>
      </c>
      <c r="F30" s="59">
        <v>28</v>
      </c>
      <c r="G30" s="59">
        <v>28</v>
      </c>
      <c r="H30" s="56">
        <v>0.2</v>
      </c>
      <c r="I30" s="59">
        <v>5000</v>
      </c>
      <c r="J30" s="59">
        <v>60000</v>
      </c>
      <c r="K30" s="59">
        <v>16</v>
      </c>
      <c r="L30" s="59">
        <v>150</v>
      </c>
      <c r="M30" s="59">
        <v>0</v>
      </c>
      <c r="N30" s="59">
        <v>80</v>
      </c>
      <c r="O30" s="59">
        <v>11</v>
      </c>
      <c r="S30" s="56">
        <v>2.5000000000000001E-3</v>
      </c>
      <c r="T30" s="56">
        <v>2.5000000000000001E-3</v>
      </c>
      <c r="U30" s="56">
        <v>2.5000000000000001E-3</v>
      </c>
      <c r="V30" s="56"/>
      <c r="W30" s="56"/>
      <c r="X30" s="56"/>
      <c r="Y30" s="56">
        <v>2.5000000000000001E-3</v>
      </c>
      <c r="Z30" s="56">
        <v>2.5000000000000001E-3</v>
      </c>
      <c r="AA30" s="56">
        <v>2.5000000000000001E-3</v>
      </c>
      <c r="AB30" s="10">
        <v>0.58455990062040442</v>
      </c>
      <c r="AC30" s="56">
        <v>7.59</v>
      </c>
      <c r="AD30" s="56">
        <v>243.916</v>
      </c>
      <c r="AE30" s="56">
        <v>0.03</v>
      </c>
      <c r="AF30" s="56">
        <v>1043</v>
      </c>
      <c r="AG30" s="56">
        <v>2328</v>
      </c>
      <c r="AH30" s="56">
        <v>3911</v>
      </c>
      <c r="AI30" s="56">
        <v>4730</v>
      </c>
    </row>
    <row r="31" spans="1:35">
      <c r="A31">
        <v>29</v>
      </c>
      <c r="B31" s="59">
        <v>34</v>
      </c>
      <c r="C31" s="59">
        <v>34</v>
      </c>
      <c r="D31" s="56" t="s">
        <v>144</v>
      </c>
      <c r="E31" s="56" t="s">
        <v>4</v>
      </c>
      <c r="F31" s="59">
        <v>30</v>
      </c>
      <c r="G31" s="59">
        <v>30</v>
      </c>
      <c r="H31" s="56">
        <v>0.2</v>
      </c>
      <c r="I31" s="59">
        <v>5000</v>
      </c>
      <c r="J31" s="59">
        <v>60000</v>
      </c>
      <c r="K31" s="59">
        <v>16</v>
      </c>
      <c r="L31" s="59">
        <v>150</v>
      </c>
      <c r="M31" s="59">
        <v>0</v>
      </c>
      <c r="N31" s="59">
        <v>80</v>
      </c>
      <c r="O31" s="59">
        <v>11</v>
      </c>
      <c r="S31" s="56">
        <v>2.5000000000000001E-3</v>
      </c>
      <c r="T31" s="56">
        <v>2.5000000000000001E-3</v>
      </c>
      <c r="U31" s="56">
        <v>2.5000000000000001E-3</v>
      </c>
      <c r="V31" s="56"/>
      <c r="W31" s="56"/>
      <c r="X31" s="56"/>
      <c r="Y31" s="56">
        <v>2.5000000000000001E-3</v>
      </c>
      <c r="Z31" s="56">
        <v>2.5000000000000001E-3</v>
      </c>
      <c r="AA31" s="56">
        <v>2.5000000000000001E-3</v>
      </c>
      <c r="AB31" s="10">
        <v>0.5854546042049632</v>
      </c>
      <c r="AC31" s="56">
        <v>7.6</v>
      </c>
      <c r="AD31" s="56">
        <v>243.916</v>
      </c>
      <c r="AE31" s="56">
        <v>0.03</v>
      </c>
      <c r="AF31" s="56">
        <v>1041</v>
      </c>
      <c r="AG31" s="56">
        <v>2309</v>
      </c>
      <c r="AH31" s="56">
        <v>3895</v>
      </c>
      <c r="AI31" s="56">
        <v>4723</v>
      </c>
    </row>
    <row r="32" spans="1:35">
      <c r="A32">
        <v>30</v>
      </c>
      <c r="B32" s="59">
        <v>34</v>
      </c>
      <c r="C32" s="59">
        <v>34</v>
      </c>
      <c r="D32" s="56" t="s">
        <v>144</v>
      </c>
      <c r="E32" s="56" t="s">
        <v>4</v>
      </c>
      <c r="F32" s="59">
        <v>32</v>
      </c>
      <c r="G32" s="59">
        <v>32</v>
      </c>
      <c r="H32" s="56">
        <v>0.2</v>
      </c>
      <c r="I32" s="59">
        <v>5000</v>
      </c>
      <c r="J32" s="59">
        <v>60000</v>
      </c>
      <c r="K32" s="59">
        <v>16</v>
      </c>
      <c r="L32" s="59">
        <v>150</v>
      </c>
      <c r="M32" s="59">
        <v>0</v>
      </c>
      <c r="N32" s="59">
        <v>80</v>
      </c>
      <c r="O32" s="59">
        <v>11</v>
      </c>
      <c r="S32" s="56">
        <v>2.5000000000000001E-3</v>
      </c>
      <c r="T32" s="56">
        <v>2.5000000000000001E-3</v>
      </c>
      <c r="U32" s="56">
        <v>2.5000000000000001E-3</v>
      </c>
      <c r="V32" s="56"/>
      <c r="W32" s="56"/>
      <c r="X32" s="56"/>
      <c r="Y32" s="56">
        <v>2.5000000000000001E-3</v>
      </c>
      <c r="Z32" s="56">
        <v>2.5000000000000001E-3</v>
      </c>
      <c r="AA32" s="56">
        <v>2.5000000000000001E-3</v>
      </c>
      <c r="AB32" s="10">
        <v>0.5864103429457721</v>
      </c>
      <c r="AC32" s="56">
        <v>7.6</v>
      </c>
      <c r="AD32" s="56">
        <v>243.916</v>
      </c>
      <c r="AE32" s="56">
        <v>0.03</v>
      </c>
      <c r="AF32" s="56">
        <v>1041</v>
      </c>
      <c r="AG32" s="56">
        <v>2309</v>
      </c>
      <c r="AH32" s="56">
        <v>3895</v>
      </c>
      <c r="AI32" s="56">
        <v>4723</v>
      </c>
    </row>
    <row r="33" spans="1:35">
      <c r="A33">
        <v>31</v>
      </c>
      <c r="B33" s="59">
        <v>34</v>
      </c>
      <c r="C33" s="59">
        <v>34</v>
      </c>
      <c r="D33" s="56" t="s">
        <v>144</v>
      </c>
      <c r="E33" s="56" t="s">
        <v>4</v>
      </c>
      <c r="F33" s="59">
        <v>24</v>
      </c>
      <c r="G33" s="59">
        <v>24</v>
      </c>
      <c r="H33" s="56">
        <v>0.2</v>
      </c>
      <c r="I33" s="59">
        <v>5000</v>
      </c>
      <c r="J33" s="59">
        <v>60000</v>
      </c>
      <c r="K33" s="59">
        <v>17</v>
      </c>
      <c r="L33" s="59">
        <v>150</v>
      </c>
      <c r="M33" s="59">
        <v>0</v>
      </c>
      <c r="N33" s="59">
        <v>80</v>
      </c>
      <c r="O33" s="59">
        <v>11</v>
      </c>
      <c r="S33" s="56">
        <v>2.5000000000000001E-3</v>
      </c>
      <c r="T33" s="56">
        <v>2.5000000000000001E-3</v>
      </c>
      <c r="U33" s="56">
        <v>2.5000000000000001E-3</v>
      </c>
      <c r="V33" s="56"/>
      <c r="W33" s="56"/>
      <c r="X33" s="56"/>
      <c r="Y33" s="56">
        <v>2.5000000000000001E-3</v>
      </c>
      <c r="Z33" s="56">
        <v>2.5000000000000001E-3</v>
      </c>
      <c r="AA33" s="56">
        <v>2.5000000000000001E-3</v>
      </c>
      <c r="AB33" s="10">
        <v>0.59118455238802214</v>
      </c>
      <c r="AC33" s="56">
        <v>7.35</v>
      </c>
      <c r="AD33" s="56">
        <v>258.36599999999999</v>
      </c>
      <c r="AE33" s="56">
        <v>0.03</v>
      </c>
      <c r="AF33" s="56">
        <v>1025</v>
      </c>
      <c r="AG33" s="56">
        <v>2630</v>
      </c>
      <c r="AH33" s="56">
        <v>4038</v>
      </c>
      <c r="AI33" s="56">
        <v>4625</v>
      </c>
    </row>
    <row r="34" spans="1:35">
      <c r="A34">
        <v>32</v>
      </c>
      <c r="B34" s="59">
        <v>34</v>
      </c>
      <c r="C34" s="59">
        <v>34</v>
      </c>
      <c r="D34" s="56" t="s">
        <v>144</v>
      </c>
      <c r="E34" s="56" t="s">
        <v>4</v>
      </c>
      <c r="F34" s="59">
        <v>26</v>
      </c>
      <c r="G34" s="59">
        <v>26</v>
      </c>
      <c r="H34" s="56">
        <v>0.2</v>
      </c>
      <c r="I34" s="59">
        <v>5000</v>
      </c>
      <c r="J34" s="59">
        <v>60000</v>
      </c>
      <c r="K34" s="59">
        <v>17</v>
      </c>
      <c r="L34" s="59">
        <v>150</v>
      </c>
      <c r="M34" s="59">
        <v>0</v>
      </c>
      <c r="N34" s="59">
        <v>80</v>
      </c>
      <c r="O34" s="59">
        <v>11</v>
      </c>
      <c r="S34" s="56">
        <v>2.5000000000000001E-3</v>
      </c>
      <c r="T34" s="56">
        <v>2.5000000000000001E-3</v>
      </c>
      <c r="U34" s="56">
        <v>2.5000000000000001E-3</v>
      </c>
      <c r="V34" s="56"/>
      <c r="W34" s="56"/>
      <c r="X34" s="56"/>
      <c r="Y34" s="56">
        <v>2.5000000000000001E-3</v>
      </c>
      <c r="Z34" s="56">
        <v>2.5000000000000001E-3</v>
      </c>
      <c r="AA34" s="56">
        <v>2.5000000000000001E-3</v>
      </c>
      <c r="AB34" s="10">
        <v>0.59240879539277547</v>
      </c>
      <c r="AC34" s="56">
        <v>8.1300000000000008</v>
      </c>
      <c r="AD34" s="56">
        <v>258.36599999999999</v>
      </c>
      <c r="AE34" s="56">
        <v>0.03</v>
      </c>
      <c r="AF34" s="56">
        <v>902</v>
      </c>
      <c r="AG34" s="56">
        <v>1433</v>
      </c>
      <c r="AH34" s="56">
        <v>2911</v>
      </c>
      <c r="AI34" s="56">
        <v>4055</v>
      </c>
    </row>
    <row r="35" spans="1:35">
      <c r="A35">
        <v>33</v>
      </c>
      <c r="B35" s="59">
        <v>34</v>
      </c>
      <c r="C35" s="59">
        <v>34</v>
      </c>
      <c r="D35" s="56" t="s">
        <v>144</v>
      </c>
      <c r="E35" s="56" t="s">
        <v>4</v>
      </c>
      <c r="F35" s="59">
        <v>28</v>
      </c>
      <c r="G35" s="59">
        <v>28</v>
      </c>
      <c r="H35" s="56">
        <v>0.2</v>
      </c>
      <c r="I35" s="59">
        <v>5000</v>
      </c>
      <c r="J35" s="59">
        <v>60000</v>
      </c>
      <c r="K35" s="59">
        <v>17</v>
      </c>
      <c r="L35" s="59">
        <v>150</v>
      </c>
      <c r="M35" s="59">
        <v>0</v>
      </c>
      <c r="N35" s="59">
        <v>80</v>
      </c>
      <c r="O35" s="59">
        <v>11</v>
      </c>
      <c r="S35" s="56">
        <v>2.5000000000000001E-3</v>
      </c>
      <c r="T35" s="56">
        <v>2.5000000000000001E-3</v>
      </c>
      <c r="U35" s="56">
        <v>2.5000000000000001E-3</v>
      </c>
      <c r="V35" s="56"/>
      <c r="W35" s="56"/>
      <c r="X35" s="56"/>
      <c r="Y35" s="56">
        <v>2.5000000000000001E-3</v>
      </c>
      <c r="Z35" s="56">
        <v>2.5000000000000001E-3</v>
      </c>
      <c r="AA35" s="56">
        <v>2.5000000000000001E-3</v>
      </c>
      <c r="AB35" s="10">
        <v>0.59370128470684025</v>
      </c>
      <c r="AC35" s="56">
        <v>8.14</v>
      </c>
      <c r="AD35" s="56">
        <v>258.36599999999999</v>
      </c>
      <c r="AE35" s="56">
        <v>0.03</v>
      </c>
      <c r="AF35" s="56">
        <v>900</v>
      </c>
      <c r="AG35" s="56">
        <v>1431</v>
      </c>
      <c r="AH35" s="56">
        <v>2897</v>
      </c>
      <c r="AI35" s="56">
        <v>4043</v>
      </c>
    </row>
    <row r="36" spans="1:35">
      <c r="A36">
        <v>34</v>
      </c>
      <c r="B36" s="59">
        <v>34</v>
      </c>
      <c r="C36" s="59">
        <v>34</v>
      </c>
      <c r="D36" s="56" t="s">
        <v>144</v>
      </c>
      <c r="E36" s="56" t="s">
        <v>4</v>
      </c>
      <c r="F36" s="59">
        <v>30</v>
      </c>
      <c r="G36" s="59">
        <v>30</v>
      </c>
      <c r="H36" s="56">
        <v>0.2</v>
      </c>
      <c r="I36" s="59">
        <v>5000</v>
      </c>
      <c r="J36" s="59">
        <v>60000</v>
      </c>
      <c r="K36" s="59">
        <v>17</v>
      </c>
      <c r="L36" s="59">
        <v>150</v>
      </c>
      <c r="M36" s="59">
        <v>0</v>
      </c>
      <c r="N36" s="59">
        <v>80</v>
      </c>
      <c r="O36" s="59">
        <v>11</v>
      </c>
      <c r="S36" s="56">
        <v>2.5000000000000001E-3</v>
      </c>
      <c r="T36" s="56">
        <v>2.5000000000000001E-3</v>
      </c>
      <c r="U36" s="56">
        <v>2.5000000000000001E-3</v>
      </c>
      <c r="V36" s="56"/>
      <c r="W36" s="56"/>
      <c r="X36" s="56"/>
      <c r="Y36" s="56">
        <v>2.5000000000000001E-3</v>
      </c>
      <c r="Z36" s="56">
        <v>2.5000000000000001E-3</v>
      </c>
      <c r="AA36" s="56">
        <v>2.5000000000000001E-3</v>
      </c>
      <c r="AB36" s="10">
        <v>0.59511859292872449</v>
      </c>
      <c r="AC36" s="56">
        <v>8.15</v>
      </c>
      <c r="AD36" s="56">
        <v>258.36599999999999</v>
      </c>
      <c r="AE36" s="56">
        <v>0.03</v>
      </c>
      <c r="AF36" s="56">
        <v>899</v>
      </c>
      <c r="AG36" s="56">
        <v>1428</v>
      </c>
      <c r="AH36" s="56">
        <v>2882</v>
      </c>
      <c r="AI36" s="56">
        <v>4031</v>
      </c>
    </row>
    <row r="37" spans="1:35">
      <c r="A37">
        <v>35</v>
      </c>
      <c r="B37" s="59">
        <v>34</v>
      </c>
      <c r="C37" s="59">
        <v>34</v>
      </c>
      <c r="D37" s="56" t="s">
        <v>144</v>
      </c>
      <c r="E37" s="56" t="s">
        <v>4</v>
      </c>
      <c r="F37" s="59">
        <v>32</v>
      </c>
      <c r="G37" s="59">
        <v>32</v>
      </c>
      <c r="H37" s="56">
        <v>0.2</v>
      </c>
      <c r="I37" s="59">
        <v>5000</v>
      </c>
      <c r="J37" s="59">
        <v>60000</v>
      </c>
      <c r="K37" s="59">
        <v>17</v>
      </c>
      <c r="L37" s="59">
        <v>150</v>
      </c>
      <c r="M37" s="59">
        <v>0</v>
      </c>
      <c r="N37" s="59">
        <v>80</v>
      </c>
      <c r="O37" s="59">
        <v>11</v>
      </c>
      <c r="S37" s="56">
        <v>2.5000000000000001E-3</v>
      </c>
      <c r="T37" s="56">
        <v>2.5000000000000001E-3</v>
      </c>
      <c r="U37" s="56">
        <v>2.5000000000000001E-3</v>
      </c>
      <c r="V37" s="56"/>
      <c r="W37" s="56"/>
      <c r="X37" s="56"/>
      <c r="Y37" s="56">
        <v>2.5000000000000001E-3</v>
      </c>
      <c r="Z37" s="56">
        <v>2.5000000000000001E-3</v>
      </c>
      <c r="AA37" s="56">
        <v>2.5000000000000001E-3</v>
      </c>
      <c r="AB37" s="10">
        <v>0.5966762850061661</v>
      </c>
      <c r="AC37" s="56">
        <v>8.16</v>
      </c>
      <c r="AD37" s="56">
        <v>258.36599999999999</v>
      </c>
      <c r="AE37" s="56">
        <v>0.03</v>
      </c>
      <c r="AF37" s="56">
        <v>897</v>
      </c>
      <c r="AG37" s="56">
        <v>1426</v>
      </c>
      <c r="AH37" s="56">
        <v>2868</v>
      </c>
      <c r="AI37" s="56">
        <v>4019</v>
      </c>
    </row>
    <row r="38" spans="1:35">
      <c r="A38">
        <v>36</v>
      </c>
      <c r="B38" s="59">
        <v>34</v>
      </c>
      <c r="C38" s="59">
        <v>34</v>
      </c>
      <c r="D38" s="56" t="s">
        <v>144</v>
      </c>
      <c r="E38" s="56" t="s">
        <v>4</v>
      </c>
      <c r="F38" s="59">
        <v>24</v>
      </c>
      <c r="G38" s="59">
        <v>24</v>
      </c>
      <c r="H38" s="56">
        <v>0.2</v>
      </c>
      <c r="I38" s="59">
        <v>5000</v>
      </c>
      <c r="J38" s="59">
        <v>60000</v>
      </c>
      <c r="K38" s="59">
        <v>18</v>
      </c>
      <c r="L38" s="59">
        <v>150</v>
      </c>
      <c r="M38" s="59">
        <v>0</v>
      </c>
      <c r="N38" s="59">
        <v>80</v>
      </c>
      <c r="O38" s="59">
        <v>11</v>
      </c>
      <c r="S38" s="56">
        <v>2.5000000000000001E-3</v>
      </c>
      <c r="T38" s="56">
        <v>2.5000000000000001E-3</v>
      </c>
      <c r="U38" s="56">
        <v>2.5000000000000001E-3</v>
      </c>
      <c r="V38" s="56"/>
      <c r="W38" s="56"/>
      <c r="X38" s="56"/>
      <c r="Y38" s="56">
        <v>2.5000000000000001E-3</v>
      </c>
      <c r="Z38" s="56">
        <v>2.5000000000000001E-3</v>
      </c>
      <c r="AA38" s="56">
        <v>2.5000000000000001E-3</v>
      </c>
      <c r="AB38" s="10">
        <v>0.6027328935689501</v>
      </c>
      <c r="AC38" s="56">
        <v>7.87</v>
      </c>
      <c r="AD38" s="56">
        <v>272.81599999999997</v>
      </c>
      <c r="AE38" s="56">
        <v>0.03</v>
      </c>
      <c r="AF38" s="56">
        <v>890</v>
      </c>
      <c r="AG38" s="56">
        <v>1605</v>
      </c>
      <c r="AH38" s="56">
        <v>3113</v>
      </c>
      <c r="AI38" s="56">
        <v>4061</v>
      </c>
    </row>
    <row r="39" spans="1:35">
      <c r="A39">
        <v>37</v>
      </c>
      <c r="B39" s="59">
        <v>34</v>
      </c>
      <c r="C39" s="59">
        <v>34</v>
      </c>
      <c r="D39" s="56" t="s">
        <v>144</v>
      </c>
      <c r="E39" s="56" t="s">
        <v>4</v>
      </c>
      <c r="F39" s="59">
        <v>26</v>
      </c>
      <c r="G39" s="59">
        <v>26</v>
      </c>
      <c r="H39" s="56">
        <v>0.2</v>
      </c>
      <c r="I39" s="59">
        <v>5000</v>
      </c>
      <c r="J39" s="59">
        <v>60000</v>
      </c>
      <c r="K39" s="59">
        <v>18</v>
      </c>
      <c r="L39" s="59">
        <v>150</v>
      </c>
      <c r="M39" s="59">
        <v>0</v>
      </c>
      <c r="N39" s="59">
        <v>80</v>
      </c>
      <c r="O39" s="59">
        <v>11</v>
      </c>
      <c r="S39" s="56">
        <v>2.5000000000000001E-3</v>
      </c>
      <c r="T39" s="56">
        <v>2.5000000000000001E-3</v>
      </c>
      <c r="U39" s="56">
        <v>2.5000000000000001E-3</v>
      </c>
      <c r="V39" s="56"/>
      <c r="W39" s="56"/>
      <c r="X39" s="56"/>
      <c r="Y39" s="56">
        <v>2.5000000000000001E-3</v>
      </c>
      <c r="Z39" s="56">
        <v>2.5000000000000001E-3</v>
      </c>
      <c r="AA39" s="56">
        <v>2.5000000000000001E-3</v>
      </c>
      <c r="AB39" s="10">
        <v>0.60472343258290961</v>
      </c>
      <c r="AC39" s="56">
        <v>8.7100000000000009</v>
      </c>
      <c r="AD39" s="56">
        <v>272.81599999999997</v>
      </c>
      <c r="AE39" s="56">
        <v>0.03</v>
      </c>
      <c r="AF39" s="56">
        <v>781</v>
      </c>
      <c r="AG39" s="56">
        <v>1248</v>
      </c>
      <c r="AH39" s="56">
        <v>1963</v>
      </c>
      <c r="AI39" s="56">
        <v>3189</v>
      </c>
    </row>
    <row r="40" spans="1:35">
      <c r="A40">
        <v>38</v>
      </c>
      <c r="B40" s="59">
        <v>34</v>
      </c>
      <c r="C40" s="59">
        <v>34</v>
      </c>
      <c r="D40" s="56" t="s">
        <v>144</v>
      </c>
      <c r="E40" s="56" t="s">
        <v>4</v>
      </c>
      <c r="F40" s="59">
        <v>28</v>
      </c>
      <c r="G40" s="59">
        <v>28</v>
      </c>
      <c r="H40" s="56">
        <v>0.2</v>
      </c>
      <c r="I40" s="59">
        <v>5000</v>
      </c>
      <c r="J40" s="59">
        <v>60000</v>
      </c>
      <c r="K40" s="59">
        <v>18</v>
      </c>
      <c r="L40" s="59">
        <v>150</v>
      </c>
      <c r="M40" s="59">
        <v>0</v>
      </c>
      <c r="N40" s="59">
        <v>80</v>
      </c>
      <c r="O40" s="59">
        <v>11</v>
      </c>
      <c r="S40" s="56">
        <v>2.5000000000000001E-3</v>
      </c>
      <c r="T40" s="56">
        <v>2.5000000000000001E-3</v>
      </c>
      <c r="U40" s="56">
        <v>2.5000000000000001E-3</v>
      </c>
      <c r="V40" s="56"/>
      <c r="W40" s="56"/>
      <c r="X40" s="56"/>
      <c r="Y40" s="56">
        <v>2.5000000000000001E-3</v>
      </c>
      <c r="Z40" s="56">
        <v>2.5000000000000001E-3</v>
      </c>
      <c r="AA40" s="56">
        <v>2.5000000000000001E-3</v>
      </c>
      <c r="AB40" s="10">
        <v>0.60686904905995309</v>
      </c>
      <c r="AC40" s="56">
        <v>8.73</v>
      </c>
      <c r="AD40" s="56">
        <v>272.81599999999997</v>
      </c>
      <c r="AE40" s="56">
        <v>0.03</v>
      </c>
      <c r="AF40" s="56">
        <v>778</v>
      </c>
      <c r="AG40" s="56">
        <v>1245</v>
      </c>
      <c r="AH40" s="56">
        <v>1936</v>
      </c>
      <c r="AI40" s="56">
        <v>3166</v>
      </c>
    </row>
    <row r="41" spans="1:35">
      <c r="A41">
        <v>39</v>
      </c>
      <c r="B41" s="59">
        <v>34</v>
      </c>
      <c r="C41" s="59">
        <v>34</v>
      </c>
      <c r="D41" s="56" t="s">
        <v>144</v>
      </c>
      <c r="E41" s="56" t="s">
        <v>4</v>
      </c>
      <c r="F41" s="59">
        <v>30</v>
      </c>
      <c r="G41" s="59">
        <v>30</v>
      </c>
      <c r="H41" s="56">
        <v>0.2</v>
      </c>
      <c r="I41" s="59">
        <v>5000</v>
      </c>
      <c r="J41" s="59">
        <v>60000</v>
      </c>
      <c r="K41" s="59">
        <v>18</v>
      </c>
      <c r="L41" s="59">
        <v>150</v>
      </c>
      <c r="M41" s="59">
        <v>0</v>
      </c>
      <c r="N41" s="59">
        <v>80</v>
      </c>
      <c r="O41" s="59">
        <v>11</v>
      </c>
      <c r="S41" s="56">
        <v>2.5000000000000001E-3</v>
      </c>
      <c r="T41" s="56">
        <v>2.5000000000000001E-3</v>
      </c>
      <c r="U41" s="56">
        <v>2.5000000000000001E-3</v>
      </c>
      <c r="V41" s="56"/>
      <c r="W41" s="56"/>
      <c r="X41" s="56"/>
      <c r="Y41" s="56">
        <v>2.5000000000000001E-3</v>
      </c>
      <c r="Z41" s="56">
        <v>2.5000000000000001E-3</v>
      </c>
      <c r="AA41" s="56">
        <v>2.5000000000000001E-3</v>
      </c>
      <c r="AB41" s="10">
        <v>0.60922900024207205</v>
      </c>
      <c r="AC41" s="56">
        <v>8.74</v>
      </c>
      <c r="AD41" s="56">
        <v>272.81599999999997</v>
      </c>
      <c r="AE41" s="56">
        <v>0.03</v>
      </c>
      <c r="AF41" s="56">
        <v>777</v>
      </c>
      <c r="AG41" s="56">
        <v>1243</v>
      </c>
      <c r="AH41" s="56">
        <v>1922</v>
      </c>
      <c r="AI41" s="56">
        <v>3155</v>
      </c>
    </row>
    <row r="42" spans="1:35">
      <c r="A42">
        <v>40</v>
      </c>
      <c r="B42" s="59">
        <v>34</v>
      </c>
      <c r="C42" s="59">
        <v>34</v>
      </c>
      <c r="D42" s="56" t="s">
        <v>144</v>
      </c>
      <c r="E42" s="56" t="s">
        <v>4</v>
      </c>
      <c r="F42" s="59">
        <v>32</v>
      </c>
      <c r="G42" s="59">
        <v>32</v>
      </c>
      <c r="H42" s="56">
        <v>0.2</v>
      </c>
      <c r="I42" s="59">
        <v>5000</v>
      </c>
      <c r="J42" s="59">
        <v>60000</v>
      </c>
      <c r="K42" s="59">
        <v>18</v>
      </c>
      <c r="L42" s="59">
        <v>150</v>
      </c>
      <c r="M42" s="59">
        <v>0</v>
      </c>
      <c r="N42" s="59">
        <v>80</v>
      </c>
      <c r="O42" s="59">
        <v>11</v>
      </c>
      <c r="S42" s="56">
        <v>2.5000000000000001E-3</v>
      </c>
      <c r="T42" s="56">
        <v>2.5000000000000001E-3</v>
      </c>
      <c r="U42" s="56">
        <v>2.5000000000000001E-3</v>
      </c>
      <c r="V42" s="56"/>
      <c r="W42" s="56"/>
      <c r="X42" s="56"/>
      <c r="Y42" s="56">
        <v>2.5000000000000001E-3</v>
      </c>
      <c r="Z42" s="56">
        <v>2.5000000000000001E-3</v>
      </c>
      <c r="AA42" s="56">
        <v>2.5000000000000001E-3</v>
      </c>
      <c r="AB42" s="10">
        <v>0.61181765916243025</v>
      </c>
      <c r="AC42" s="56">
        <v>8.76</v>
      </c>
      <c r="AD42" s="56">
        <v>272.81599999999997</v>
      </c>
      <c r="AE42" s="56">
        <v>0.03</v>
      </c>
      <c r="AF42" s="56">
        <v>775</v>
      </c>
      <c r="AG42" s="56">
        <v>1239</v>
      </c>
      <c r="AH42" s="56">
        <v>1895</v>
      </c>
      <c r="AI42" s="56">
        <v>3133</v>
      </c>
    </row>
  </sheetData>
  <conditionalFormatting sqref="AF3:AI42">
    <cfRule type="cellIs" dxfId="0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P14" sqref="P14"/>
    </sheetView>
  </sheetViews>
  <sheetFormatPr defaultRowHeight="15"/>
  <cols>
    <col min="1" max="1" width="13.140625" style="8" customWidth="1"/>
    <col min="10" max="10" width="12.140625" style="8" bestFit="1" customWidth="1"/>
    <col min="11" max="11" width="10.140625" style="8" bestFit="1" customWidth="1"/>
  </cols>
  <sheetData>
    <row r="1" spans="1:12">
      <c r="A1" s="52" t="s">
        <v>145</v>
      </c>
    </row>
    <row r="3" spans="1:12" ht="18" customHeight="1">
      <c r="A3" s="3" t="s">
        <v>146</v>
      </c>
      <c r="B3" s="4">
        <f>f_n</f>
        <v>7.9328615571404866</v>
      </c>
      <c r="C3" t="s">
        <v>107</v>
      </c>
    </row>
    <row r="4" spans="1:12">
      <c r="A4" s="3" t="s">
        <v>109</v>
      </c>
      <c r="B4" s="6">
        <f>Slab_Properties!B127</f>
        <v>74875</v>
      </c>
      <c r="C4" t="s">
        <v>110</v>
      </c>
    </row>
    <row r="5" spans="1:12">
      <c r="A5" s="11" t="s">
        <v>111</v>
      </c>
      <c r="B5">
        <f>Slab_Properties!B128</f>
        <v>0.03</v>
      </c>
    </row>
    <row r="6" spans="1:12">
      <c r="A6" s="11"/>
    </row>
    <row r="7" spans="1:12">
      <c r="A7" s="52" t="s">
        <v>147</v>
      </c>
      <c r="H7" s="56" t="s">
        <v>148</v>
      </c>
      <c r="I7" s="56" t="s">
        <v>149</v>
      </c>
      <c r="J7" s="56" t="s">
        <v>150</v>
      </c>
    </row>
    <row r="8" spans="1:12" ht="18" customHeight="1">
      <c r="A8" s="56" t="s">
        <v>151</v>
      </c>
      <c r="B8" s="56" t="s">
        <v>126</v>
      </c>
      <c r="C8" s="56" t="s">
        <v>152</v>
      </c>
      <c r="D8" s="56" t="s">
        <v>153</v>
      </c>
      <c r="E8" s="56" t="s">
        <v>154</v>
      </c>
      <c r="F8" s="56" t="s">
        <v>155</v>
      </c>
      <c r="G8" s="57" t="s">
        <v>156</v>
      </c>
      <c r="H8" s="56" t="s">
        <v>157</v>
      </c>
      <c r="I8" s="56" t="s">
        <v>158</v>
      </c>
      <c r="J8" s="56" t="s">
        <v>159</v>
      </c>
    </row>
    <row r="9" spans="1:12">
      <c r="A9" s="56"/>
      <c r="B9" s="56" t="s">
        <v>107</v>
      </c>
      <c r="C9" s="56" t="s">
        <v>107</v>
      </c>
      <c r="D9" s="56" t="s">
        <v>107</v>
      </c>
      <c r="E9" s="56" t="s">
        <v>107</v>
      </c>
      <c r="F9" s="56" t="s">
        <v>107</v>
      </c>
      <c r="G9" s="57"/>
      <c r="H9" s="56" t="s">
        <v>143</v>
      </c>
      <c r="I9" s="56" t="s">
        <v>143</v>
      </c>
      <c r="J9" s="56" t="s">
        <v>143</v>
      </c>
    </row>
    <row r="10" spans="1:12">
      <c r="A10" s="56" t="s">
        <v>129</v>
      </c>
      <c r="B10" s="10">
        <f>$B$3</f>
        <v>7.9328615571404866</v>
      </c>
      <c r="C10" s="56">
        <v>1.25</v>
      </c>
      <c r="D10" s="56"/>
      <c r="E10" s="56"/>
      <c r="F10" s="56"/>
      <c r="G10" s="56"/>
      <c r="H10" s="7"/>
      <c r="I10" s="7">
        <f>250000000/($B$4*$B$5)*($C10^2.43/$B10^1.8)*(1-EXP(-2*PI()*$B$5*$B10/$C10))</f>
        <v>3211.0837356966122</v>
      </c>
      <c r="J10" s="7"/>
      <c r="K10" s="7">
        <f>I10</f>
        <v>3211.0837356966122</v>
      </c>
      <c r="L10" t="s">
        <v>143</v>
      </c>
    </row>
    <row r="11" spans="1:12">
      <c r="A11" s="56" t="s">
        <v>130</v>
      </c>
      <c r="B11" s="10">
        <f>$B$3</f>
        <v>7.9328615571404866</v>
      </c>
      <c r="C11" s="56">
        <v>1.6</v>
      </c>
      <c r="D11" s="56">
        <v>6.8</v>
      </c>
      <c r="E11" s="56">
        <v>6</v>
      </c>
      <c r="F11" s="56">
        <v>8</v>
      </c>
      <c r="G11" s="56">
        <v>0.1</v>
      </c>
      <c r="H11" s="7">
        <f>175000000/($B$4*$B$5*SQRT($B11))*(EXP(-$G11*$B11))</f>
        <v>12512.532571651907</v>
      </c>
      <c r="I11" s="7">
        <f>250000000/($B$4*$B$5)*($C11^2.43/$B11^1.8)*(1-EXP(-2*PI()*$B$5*$B11/$C11))</f>
        <v>5091.9409379106901</v>
      </c>
      <c r="J11" s="7">
        <f>IF(AND($B11&gt;$E11,$B11&lt;$F11),$H11+($I11-$H11)/($F11-$E11)*($B11-$E11)/($F11-$E11), "N/A")</f>
        <v>8926.7884966277288</v>
      </c>
      <c r="K11" s="7">
        <f>IF($B11&gt;=F11,I11, IF($B11&lt;=E11,H11,J11))</f>
        <v>8926.7884966277288</v>
      </c>
      <c r="L11" t="s">
        <v>143</v>
      </c>
    </row>
    <row r="12" spans="1:12">
      <c r="A12" s="56" t="s">
        <v>131</v>
      </c>
      <c r="B12" s="10">
        <f>$B$3</f>
        <v>7.9328615571404866</v>
      </c>
      <c r="C12" s="56">
        <v>1.85</v>
      </c>
      <c r="D12" s="56">
        <v>8</v>
      </c>
      <c r="E12" s="56">
        <v>7</v>
      </c>
      <c r="F12" s="56">
        <v>9</v>
      </c>
      <c r="G12" s="56">
        <v>0.09</v>
      </c>
      <c r="H12" s="7">
        <f>175000000/($B$4*$B$5*SQRT($B12))*(EXP(-$G12*$B12))</f>
        <v>13545.567382152003</v>
      </c>
      <c r="I12" s="7">
        <f>250000000/($B$4*$B$5)*($C12^2.43/$B12^1.8)*(1-EXP(-2*PI()*$B$5*$B12/$C12))</f>
        <v>6615.128613505025</v>
      </c>
      <c r="J12" s="7">
        <f>IF(AND($B12&gt;$E12,$B12&lt;$F12),$H12+($I12-$H12)/($F12-$E12)*($B12-$E12)/($F12-$E12), "N/A")</f>
        <v>11929.2824068053</v>
      </c>
      <c r="K12" s="7">
        <f>IF($B12&gt;=F12,I12, IF($B12&lt;=E12,H12,J12))</f>
        <v>11929.2824068053</v>
      </c>
      <c r="L12" t="s">
        <v>143</v>
      </c>
    </row>
    <row r="13" spans="1:12">
      <c r="A13" s="56" t="s">
        <v>132</v>
      </c>
      <c r="B13" s="10">
        <f>$B$3</f>
        <v>7.9328615571404866</v>
      </c>
      <c r="C13" s="56">
        <v>2.1</v>
      </c>
      <c r="D13" s="56">
        <v>8.8000000000000007</v>
      </c>
      <c r="E13" s="56">
        <v>8</v>
      </c>
      <c r="F13" s="56">
        <v>10</v>
      </c>
      <c r="G13" s="56">
        <v>0.08</v>
      </c>
      <c r="H13" s="7">
        <f>175000000/($B$4*$B$5*SQRT($B13))*(EXP(-$G13*$B13))</f>
        <v>14663.889556628494</v>
      </c>
      <c r="I13" s="7">
        <f>250000000/($B$4*$B$5)*($C13^2.43/$B13^1.8)*(1-EXP(-2*PI()*$B$5*$B13/$C13))</f>
        <v>8270.4463690391931</v>
      </c>
      <c r="J13" s="7" t="str">
        <f>IF(AND($B13&gt;$E13,$B13&lt;$F13),$H13+($I13-$H13)/($F13-$E13)*($B13-$E13)/($F13-$E13), "N/A")</f>
        <v>N/A</v>
      </c>
      <c r="K13" s="7">
        <f>IF($B13&gt;=F13,I13, IF($B13&lt;=E13,H13,J13))</f>
        <v>14663.889556628494</v>
      </c>
      <c r="L13" t="s">
        <v>143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128"/>
  <sheetViews>
    <sheetView zoomScale="85" zoomScaleNormal="85" workbookViewId="0">
      <selection activeCell="G130" sqref="G130"/>
    </sheetView>
  </sheetViews>
  <sheetFormatPr defaultRowHeight="15"/>
  <cols>
    <col min="1" max="1" width="14" style="8" customWidth="1"/>
    <col min="4" max="4" width="10.28515625" style="8" customWidth="1"/>
    <col min="5" max="5" width="12" style="8" customWidth="1"/>
    <col min="6" max="6" width="11.85546875" style="8" customWidth="1"/>
    <col min="7" max="7" width="12.7109375" style="8" customWidth="1"/>
    <col min="8" max="9" width="11.28515625" style="8" bestFit="1" customWidth="1"/>
    <col min="10" max="13" width="11.5703125" style="8" bestFit="1" customWidth="1"/>
  </cols>
  <sheetData>
    <row r="2" spans="1:5">
      <c r="A2" s="52" t="s">
        <v>0</v>
      </c>
      <c r="D2" s="56" t="s">
        <v>1</v>
      </c>
    </row>
    <row r="3" spans="1:5" ht="18" customHeight="1">
      <c r="A3" s="3" t="s">
        <v>2</v>
      </c>
      <c r="B3" s="2">
        <v>35</v>
      </c>
      <c r="C3" t="s">
        <v>3</v>
      </c>
      <c r="D3" s="56" t="s">
        <v>144</v>
      </c>
      <c r="E3" t="s">
        <v>5</v>
      </c>
    </row>
    <row r="4" spans="1:5" ht="18" customHeight="1">
      <c r="A4" s="3" t="s">
        <v>6</v>
      </c>
      <c r="B4" s="2">
        <v>22</v>
      </c>
      <c r="C4" t="s">
        <v>3</v>
      </c>
      <c r="D4" s="56" t="s">
        <v>4</v>
      </c>
    </row>
    <row r="5" spans="1:5" ht="18" customHeight="1">
      <c r="A5" s="3" t="s">
        <v>7</v>
      </c>
      <c r="B5" s="4">
        <f>l_1/l_2</f>
        <v>1.5909090909090908</v>
      </c>
      <c r="D5" s="56" t="s">
        <v>8</v>
      </c>
    </row>
    <row r="6" spans="1:5" ht="18" customHeight="1">
      <c r="A6" s="3" t="s">
        <v>9</v>
      </c>
      <c r="B6" s="2">
        <v>21</v>
      </c>
      <c r="C6" t="s">
        <v>10</v>
      </c>
    </row>
    <row r="7" spans="1:5" ht="18" customHeight="1">
      <c r="A7" s="3" t="s">
        <v>11</v>
      </c>
      <c r="B7" s="2">
        <v>21</v>
      </c>
      <c r="C7" t="s">
        <v>10</v>
      </c>
    </row>
    <row r="8" spans="1:5">
      <c r="A8" s="3" t="s">
        <v>12</v>
      </c>
      <c r="B8" s="2">
        <v>0.2</v>
      </c>
    </row>
    <row r="9" spans="1:5" ht="18" customHeight="1">
      <c r="A9" s="3" t="s">
        <v>13</v>
      </c>
      <c r="B9" s="2">
        <v>5000</v>
      </c>
      <c r="C9" t="s">
        <v>14</v>
      </c>
    </row>
    <row r="10" spans="1:5" ht="18" customHeight="1">
      <c r="A10" s="3" t="s">
        <v>15</v>
      </c>
      <c r="B10" s="2">
        <v>60000</v>
      </c>
      <c r="C10" t="s">
        <v>14</v>
      </c>
    </row>
    <row r="11" spans="1:5" ht="18" customHeight="1">
      <c r="A11" s="3" t="s">
        <v>16</v>
      </c>
      <c r="B11">
        <f>IF(AND(B14&gt;90,B14&lt;=160),B14^1.5*33*SQRT(B9))*1.2</f>
        <v>4889136.8256574692</v>
      </c>
      <c r="C11" t="s">
        <v>14</v>
      </c>
      <c r="D11" t="s">
        <v>17</v>
      </c>
    </row>
    <row r="12" spans="1:5">
      <c r="A12" s="3" t="s">
        <v>18</v>
      </c>
      <c r="B12" s="2">
        <v>11</v>
      </c>
      <c r="C12" t="s">
        <v>10</v>
      </c>
    </row>
    <row r="13" spans="1:5">
      <c r="A13" s="3" t="s">
        <v>19</v>
      </c>
      <c r="B13" s="2">
        <v>9.75</v>
      </c>
      <c r="C13" t="s">
        <v>10</v>
      </c>
    </row>
    <row r="14" spans="1:5" ht="18" customHeight="1">
      <c r="A14" s="3" t="s">
        <v>20</v>
      </c>
      <c r="B14" s="2">
        <v>145</v>
      </c>
      <c r="C14" t="s">
        <v>21</v>
      </c>
    </row>
    <row r="15" spans="1:5" ht="18" customHeight="1">
      <c r="A15" s="3" t="s">
        <v>22</v>
      </c>
      <c r="B15">
        <f>h/2</f>
        <v>5.5</v>
      </c>
      <c r="C15" t="s">
        <v>10</v>
      </c>
    </row>
    <row r="16" spans="1:5">
      <c r="A16" s="3" t="s">
        <v>23</v>
      </c>
      <c r="B16" s="5">
        <f>29000000/E_c</f>
        <v>5.9315173688353893</v>
      </c>
    </row>
    <row r="17" spans="1:5" ht="18" customHeight="1">
      <c r="A17" s="11" t="s">
        <v>24</v>
      </c>
      <c r="B17" s="4">
        <f>IF(AND(w_c&lt;150, w_c&gt;140), 0.85,IF(w_c=150, 1, "ERROR"))</f>
        <v>0.85</v>
      </c>
    </row>
    <row r="18" spans="1:5" ht="18" customHeight="1">
      <c r="A18" s="3" t="s">
        <v>25</v>
      </c>
      <c r="B18" s="5">
        <f>4.5*lambda_w*SQRT(f_c)</f>
        <v>270.4683438038544</v>
      </c>
      <c r="C18" t="s">
        <v>14</v>
      </c>
    </row>
    <row r="19" spans="1:5">
      <c r="A19" s="3"/>
    </row>
    <row r="20" spans="1:5">
      <c r="A20" s="21" t="s">
        <v>26</v>
      </c>
    </row>
    <row r="21" spans="1:5">
      <c r="A21" s="3" t="s">
        <v>27</v>
      </c>
      <c r="B21" s="56" t="s">
        <v>28</v>
      </c>
      <c r="C21" s="56" t="s">
        <v>29</v>
      </c>
    </row>
    <row r="22" spans="1:5" ht="18" customHeight="1">
      <c r="A22" s="3" t="s">
        <v>30</v>
      </c>
      <c r="B22" s="56">
        <f>MIN(0.25*l_1, 0.25*l_2)*2</f>
        <v>11</v>
      </c>
      <c r="C22" s="56">
        <f>l_2-B22</f>
        <v>11</v>
      </c>
      <c r="D22" t="s">
        <v>3</v>
      </c>
      <c r="E22" t="s">
        <v>31</v>
      </c>
    </row>
    <row r="23" spans="1:5" ht="18" customHeight="1">
      <c r="A23" s="3" t="s">
        <v>32</v>
      </c>
      <c r="B23" s="56">
        <f>MIN(0.25*l_1, 0.25*l_2)*2</f>
        <v>11</v>
      </c>
      <c r="C23" s="56">
        <f>l_1-B23</f>
        <v>24</v>
      </c>
      <c r="D23" t="s">
        <v>3</v>
      </c>
    </row>
    <row r="25" spans="1:5">
      <c r="A25" s="3" t="s">
        <v>33</v>
      </c>
    </row>
    <row r="26" spans="1:5">
      <c r="A26" s="3" t="s">
        <v>34</v>
      </c>
      <c r="B26" s="2">
        <v>21</v>
      </c>
      <c r="C26" t="s">
        <v>35</v>
      </c>
    </row>
    <row r="27" spans="1:5">
      <c r="A27" s="3" t="s">
        <v>36</v>
      </c>
      <c r="B27" s="2">
        <v>125</v>
      </c>
      <c r="C27" t="s">
        <v>35</v>
      </c>
    </row>
    <row r="28" spans="1:5" ht="18" customHeight="1">
      <c r="A28" s="3" t="s">
        <v>37</v>
      </c>
      <c r="B28" s="2">
        <v>11</v>
      </c>
      <c r="C28" t="s">
        <v>35</v>
      </c>
    </row>
    <row r="29" spans="1:5">
      <c r="A29" s="3" t="s">
        <v>38</v>
      </c>
      <c r="B29" s="6">
        <f>(h/12*w_c)</f>
        <v>132.91666666666666</v>
      </c>
      <c r="C29" t="s">
        <v>35</v>
      </c>
    </row>
    <row r="30" spans="1:5" ht="17.25" customHeight="1">
      <c r="A30" s="3" t="s">
        <v>39</v>
      </c>
      <c r="B30" s="6">
        <f>(h / 12 * w_c +SDL+LLvib)*l_1*l_2/32.2</f>
        <v>3943.6594202898546</v>
      </c>
      <c r="C30" t="s">
        <v>40</v>
      </c>
    </row>
    <row r="31" spans="1:5">
      <c r="A31" s="3" t="s">
        <v>41</v>
      </c>
      <c r="B31" s="6">
        <f>mass * 32.2/1000</f>
        <v>126.98583333333333</v>
      </c>
      <c r="C31" t="s">
        <v>42</v>
      </c>
    </row>
    <row r="32" spans="1:5" ht="15.75" customHeight="1" thickBot="1">
      <c r="A32" s="3"/>
      <c r="B32" s="6"/>
    </row>
    <row r="33" spans="1:14" ht="15.75" customHeight="1" thickBot="1">
      <c r="A33" s="21" t="s">
        <v>43</v>
      </c>
      <c r="B33" s="6"/>
      <c r="F33" s="53" t="s">
        <v>44</v>
      </c>
      <c r="G33" s="54"/>
      <c r="H33" s="55"/>
    </row>
    <row r="34" spans="1:14">
      <c r="A34" s="3"/>
      <c r="F34" s="45" t="s">
        <v>45</v>
      </c>
      <c r="G34" s="46" t="s">
        <v>45</v>
      </c>
      <c r="H34" s="46" t="s">
        <v>45</v>
      </c>
      <c r="I34" s="46" t="s">
        <v>45</v>
      </c>
      <c r="J34" s="46" t="s">
        <v>46</v>
      </c>
      <c r="K34" s="46" t="s">
        <v>46</v>
      </c>
      <c r="L34" s="46" t="s">
        <v>46</v>
      </c>
      <c r="M34" s="47" t="s">
        <v>46</v>
      </c>
    </row>
    <row r="35" spans="1:14" ht="18" customHeight="1">
      <c r="A35" s="21" t="s">
        <v>47</v>
      </c>
      <c r="F35" s="41" t="s">
        <v>28</v>
      </c>
      <c r="G35" s="42" t="s">
        <v>28</v>
      </c>
      <c r="H35" s="42" t="s">
        <v>29</v>
      </c>
      <c r="I35" s="42" t="s">
        <v>29</v>
      </c>
      <c r="J35" s="42" t="s">
        <v>28</v>
      </c>
      <c r="K35" s="42" t="s">
        <v>28</v>
      </c>
      <c r="L35" s="42" t="s">
        <v>29</v>
      </c>
      <c r="M35" s="48" t="s">
        <v>29</v>
      </c>
    </row>
    <row r="36" spans="1:14" ht="18.75" customHeight="1" thickBot="1">
      <c r="A36" s="3" t="s">
        <v>48</v>
      </c>
      <c r="B36" s="6">
        <f>1.2*(SDL+SW) +1.6*LL</f>
        <v>384.7</v>
      </c>
      <c r="E36" s="3" t="s">
        <v>49</v>
      </c>
      <c r="F36" s="49" t="s">
        <v>50</v>
      </c>
      <c r="G36" s="50" t="s">
        <v>51</v>
      </c>
      <c r="H36" s="50" t="s">
        <v>50</v>
      </c>
      <c r="I36" s="50" t="s">
        <v>51</v>
      </c>
      <c r="J36" s="50" t="s">
        <v>50</v>
      </c>
      <c r="K36" s="50" t="s">
        <v>51</v>
      </c>
      <c r="L36" s="50" t="s">
        <v>50</v>
      </c>
      <c r="M36" s="51" t="s">
        <v>51</v>
      </c>
    </row>
    <row r="37" spans="1:14" ht="18" customHeight="1">
      <c r="A37" s="3" t="s">
        <v>52</v>
      </c>
      <c r="B37" s="6">
        <f>(q_u*l_2*(l_1-c_1 / 12)^2 / 8) / 1000</f>
        <v>1169.6022078125</v>
      </c>
      <c r="C37" t="s">
        <v>53</v>
      </c>
      <c r="E37" s="3" t="s">
        <v>54</v>
      </c>
      <c r="F37" s="18">
        <v>0.35</v>
      </c>
      <c r="G37" s="19">
        <v>0.6</v>
      </c>
      <c r="H37" s="19">
        <v>0.35</v>
      </c>
      <c r="I37" s="19">
        <v>0.4</v>
      </c>
      <c r="J37" s="19">
        <v>0.52</v>
      </c>
      <c r="K37" s="19">
        <v>0.6</v>
      </c>
      <c r="L37" s="19">
        <v>0.52</v>
      </c>
      <c r="M37" s="20">
        <v>0.4</v>
      </c>
    </row>
    <row r="38" spans="1:14" ht="18" customHeight="1">
      <c r="A38" s="3" t="s">
        <v>55</v>
      </c>
      <c r="B38" s="6">
        <f>(q_u*l_1*(l_2 - c_2 / 12) ^2 / 8) / 1000</f>
        <v>690.16081640624998</v>
      </c>
      <c r="C38" t="s">
        <v>53</v>
      </c>
      <c r="E38" s="3" t="s">
        <v>56</v>
      </c>
      <c r="F38" s="13">
        <v>0.65</v>
      </c>
      <c r="G38" s="12">
        <v>0.75</v>
      </c>
      <c r="H38" s="12">
        <v>0.65</v>
      </c>
      <c r="I38" s="12">
        <v>0.25</v>
      </c>
      <c r="J38" s="12">
        <v>0.26</v>
      </c>
      <c r="K38" s="12">
        <v>1</v>
      </c>
      <c r="L38" s="12">
        <v>0.26</v>
      </c>
      <c r="M38" s="14">
        <v>0</v>
      </c>
      <c r="N38" t="s">
        <v>57</v>
      </c>
    </row>
    <row r="39" spans="1:14" ht="18.75" customHeight="1" thickBot="1">
      <c r="E39" s="3" t="s">
        <v>58</v>
      </c>
      <c r="F39" s="15">
        <v>0.65</v>
      </c>
      <c r="G39" s="16">
        <v>0.75</v>
      </c>
      <c r="H39" s="16">
        <v>0.65</v>
      </c>
      <c r="I39" s="16">
        <v>0.25</v>
      </c>
      <c r="J39" s="16">
        <v>0.7</v>
      </c>
      <c r="K39" s="16">
        <v>0.75</v>
      </c>
      <c r="L39" s="16">
        <v>0.7</v>
      </c>
      <c r="M39" s="17">
        <v>0.25</v>
      </c>
    </row>
    <row r="40" spans="1:14">
      <c r="A40" s="3" t="s">
        <v>59</v>
      </c>
      <c r="B40" s="6">
        <f>IF($D$3="interior", F37*B37,  IF($D$3="exterior", J37*B37, "ERROR"))</f>
        <v>608.19314806249997</v>
      </c>
      <c r="C40" t="s">
        <v>53</v>
      </c>
      <c r="E40" s="3"/>
      <c r="F40" s="56"/>
      <c r="G40" s="56"/>
      <c r="H40" s="56"/>
      <c r="I40" s="56"/>
      <c r="J40" s="56"/>
      <c r="K40" s="56"/>
      <c r="L40" s="56"/>
      <c r="M40" s="56"/>
    </row>
    <row r="41" spans="1:14">
      <c r="A41" s="3" t="s">
        <v>60</v>
      </c>
      <c r="B41" s="6">
        <f>IF($D$3="interior", F38*B37,  IF($D$3="exterior", J38*B37, "ERROR"))</f>
        <v>304.09657403124999</v>
      </c>
      <c r="C41" t="s">
        <v>53</v>
      </c>
      <c r="E41" s="3"/>
      <c r="F41" s="56"/>
      <c r="G41" s="56"/>
      <c r="H41" s="56"/>
      <c r="I41" s="56"/>
      <c r="J41" s="56"/>
      <c r="K41" s="56"/>
      <c r="L41" s="56"/>
      <c r="M41" s="56"/>
    </row>
    <row r="42" spans="1:14">
      <c r="A42" s="3" t="s">
        <v>61</v>
      </c>
      <c r="B42" s="6">
        <f>IF($D$3="interior", F39*B37,  IF($D$3="exterior", J39*B37, "ERROR"))</f>
        <v>818.72154546874992</v>
      </c>
      <c r="C42" t="s">
        <v>53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>
      <c r="A43" s="3" t="s">
        <v>62</v>
      </c>
      <c r="B43" s="6">
        <f>IF($D$4="interior", F37*B38,  IF($D$4="exterior", J37*B38, "ERROR"))</f>
        <v>241.55628574218747</v>
      </c>
      <c r="C43" t="s">
        <v>53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>
      <c r="A44" s="3" t="s">
        <v>63</v>
      </c>
      <c r="B44" s="6">
        <f>IF($D$4="interior", F38*B38,  IF($D$4="exterior", J38*B38, "ERROR"))</f>
        <v>448.60453066406251</v>
      </c>
      <c r="C44" t="s">
        <v>53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>
      <c r="A45" s="3" t="s">
        <v>64</v>
      </c>
      <c r="B45" s="6">
        <f>IF($D$4="interior", F39*B38,  IF($D$4="exterior", J39*B38, "ERROR"))</f>
        <v>448.60453066406251</v>
      </c>
      <c r="C45" t="s">
        <v>53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>
      <c r="E46" s="3"/>
      <c r="F46" s="56"/>
      <c r="G46" s="56"/>
      <c r="H46" s="56"/>
      <c r="I46" s="56"/>
      <c r="J46" s="56"/>
      <c r="K46" s="56"/>
      <c r="L46" s="56"/>
      <c r="M46" s="56"/>
    </row>
    <row r="47" spans="1:14">
      <c r="A47" s="21" t="s">
        <v>65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ht="18" customHeight="1">
      <c r="A48" s="3" t="s">
        <v>66</v>
      </c>
      <c r="B48" s="7">
        <f>((SW+SDL)*l_2*(l_1-c_1 / 12) ^ 2 / 8) / 1000</f>
        <v>467.95236067708333</v>
      </c>
      <c r="C48" t="s">
        <v>53</v>
      </c>
      <c r="E48" s="3"/>
      <c r="F48" s="56"/>
      <c r="G48" s="56"/>
      <c r="H48" s="56"/>
      <c r="I48" s="56"/>
      <c r="J48" s="56"/>
      <c r="K48" s="56"/>
      <c r="L48" s="56"/>
      <c r="M48" s="56"/>
    </row>
    <row r="49" spans="1:13" ht="18" customHeight="1">
      <c r="A49" s="3" t="s">
        <v>68</v>
      </c>
      <c r="B49" s="7">
        <f>((LL)*l_2*(l_1-c_1 / 12) ^ 2 / 8) / 1000</f>
        <v>380.037109375</v>
      </c>
      <c r="C49" t="s">
        <v>53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>
      <c r="A50" s="3" t="s">
        <v>69</v>
      </c>
      <c r="B50" s="7">
        <f>((SW+SDL)*l_1*(l_2-c_2 / 12) ^ 2 / 8) / 1000</f>
        <v>276.13010742187498</v>
      </c>
      <c r="C50" t="s">
        <v>53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>
      <c r="A51" s="3" t="s">
        <v>70</v>
      </c>
      <c r="B51" s="7">
        <f>((LL)*l_1*(l_2-c_2 / 12) ^ 2 / 8) / 1000</f>
        <v>224.2529296875</v>
      </c>
      <c r="C51" t="s">
        <v>53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>
      <c r="A52" s="3"/>
      <c r="B52" s="7"/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>
      <c r="A53" s="21" t="s">
        <v>71</v>
      </c>
    </row>
    <row r="54" spans="1:13">
      <c r="A54" s="56" t="s">
        <v>27</v>
      </c>
      <c r="B54" s="56" t="s">
        <v>72</v>
      </c>
      <c r="C54" s="56" t="s">
        <v>73</v>
      </c>
      <c r="D54" s="56" t="s">
        <v>28</v>
      </c>
      <c r="E54" s="56" t="s">
        <v>29</v>
      </c>
    </row>
    <row r="55" spans="1:13" ht="18" customHeight="1">
      <c r="A55" s="56" t="s">
        <v>30</v>
      </c>
      <c r="B55" s="56" t="s">
        <v>74</v>
      </c>
      <c r="C55" s="56" t="s">
        <v>75</v>
      </c>
      <c r="D55" s="7">
        <f>IF($D$3="interior", F37*G37*B48,  IF($D$3="exterior", J37*K37*B48, "ERROR"))</f>
        <v>146.00113653125001</v>
      </c>
      <c r="E55" s="7">
        <f>IF($D$3="interior", H37*I37*B48,  IF($D$3="exterior", L37*M37*B48, "ERROR"))</f>
        <v>97.334091020833341</v>
      </c>
      <c r="F55" s="1" t="s">
        <v>53</v>
      </c>
    </row>
    <row r="56" spans="1:13" ht="18" customHeight="1">
      <c r="A56" s="56" t="s">
        <v>30</v>
      </c>
      <c r="B56" s="56" t="s">
        <v>74</v>
      </c>
      <c r="C56" s="56" t="s">
        <v>76</v>
      </c>
      <c r="D56" s="7">
        <f>IF($D$3="interior", F38*G38*B48,  IF($D$3="exterior", J38*K38*B48, "ERROR"))</f>
        <v>121.66761377604168</v>
      </c>
      <c r="E56" s="7">
        <f>IF($D$3="interior", H38*I38*B48,  IF($D$3="exterior", L38*M38*B48, "ERROR"))</f>
        <v>0</v>
      </c>
      <c r="F56" s="1" t="s">
        <v>53</v>
      </c>
    </row>
    <row r="57" spans="1:13" ht="18" customHeight="1">
      <c r="A57" s="56" t="s">
        <v>30</v>
      </c>
      <c r="B57" s="56" t="s">
        <v>74</v>
      </c>
      <c r="C57" s="56" t="s">
        <v>77</v>
      </c>
      <c r="D57" s="7">
        <f>IF($D$3="interior", F39*G39*B48,  IF($D$3="exterior", J39*K39*B48, "ERROR"))</f>
        <v>245.67498935546871</v>
      </c>
      <c r="E57" s="7">
        <f>IF($D$4="interior", H39*I39*B48,  IF($D$4="exterior", L39*M39*B48, "ERROR"))</f>
        <v>76.042258610026039</v>
      </c>
      <c r="F57" s="1" t="s">
        <v>53</v>
      </c>
    </row>
    <row r="58" spans="1:13" ht="18" customHeight="1">
      <c r="A58" s="56" t="s">
        <v>30</v>
      </c>
      <c r="B58" s="56" t="s">
        <v>78</v>
      </c>
      <c r="C58" s="56" t="s">
        <v>75</v>
      </c>
      <c r="D58" s="7">
        <f>IF($D$3="interior", F37*G37*B49,  IF($D$3="exterior", J37*K37*B49, "ERROR"))</f>
        <v>118.571578125</v>
      </c>
      <c r="E58" s="7">
        <f>IF($D$3="interior", H37*I37*B49,  IF($D$3="exterior", L37*M37*B49, "ERROR"))</f>
        <v>79.047718750000001</v>
      </c>
      <c r="F58" s="1" t="s">
        <v>53</v>
      </c>
    </row>
    <row r="59" spans="1:13" ht="18" customHeight="1">
      <c r="A59" s="56" t="s">
        <v>30</v>
      </c>
      <c r="B59" s="56" t="s">
        <v>78</v>
      </c>
      <c r="C59" s="56" t="s">
        <v>76</v>
      </c>
      <c r="D59" s="7">
        <f>IF($D$3="interior", F38*G38*B49,  IF($D$3="exterior", J38*K38*B49, "ERROR"))</f>
        <v>98.809648437500002</v>
      </c>
      <c r="E59" s="7">
        <f>IF($D$3="interior", H38*I38*B49,  IF($D$3="exterior", L38*M38*B49, "ERROR"))</f>
        <v>0</v>
      </c>
      <c r="F59" s="1" t="s">
        <v>53</v>
      </c>
    </row>
    <row r="60" spans="1:13" ht="18" customHeight="1">
      <c r="A60" s="56" t="s">
        <v>30</v>
      </c>
      <c r="B60" s="56" t="s">
        <v>78</v>
      </c>
      <c r="C60" s="56" t="s">
        <v>77</v>
      </c>
      <c r="D60" s="7">
        <f>IF($D$3="interior", F39*G39*B49,  IF($D$3="exterior", J39*K39*B49, "ERROR"))</f>
        <v>199.51948242187495</v>
      </c>
      <c r="E60" s="7">
        <f>IF($D$3="interior", H39*I39*B49,  IF($D$3="exterior", L39*M39*B49, "ERROR"))</f>
        <v>66.506494140624994</v>
      </c>
      <c r="F60" s="1" t="s">
        <v>53</v>
      </c>
    </row>
    <row r="61" spans="1:13" ht="18" customHeight="1">
      <c r="A61" s="56" t="s">
        <v>32</v>
      </c>
      <c r="B61" s="56" t="s">
        <v>74</v>
      </c>
      <c r="C61" s="56" t="s">
        <v>75</v>
      </c>
      <c r="D61" s="7">
        <f>IF($D$4="interior", F37*G37*B50,  IF($D$4="exterior", J37*K37*B50, "ERROR"))</f>
        <v>57.987322558593746</v>
      </c>
      <c r="E61" s="7">
        <f>IF($D$4="interior", H37*I37*B50,  IF($D$4="exterior", L37*M37*B50, "ERROR"))</f>
        <v>38.65821503906249</v>
      </c>
      <c r="F61" s="1" t="s">
        <v>53</v>
      </c>
    </row>
    <row r="62" spans="1:13" ht="18" customHeight="1">
      <c r="A62" s="56" t="s">
        <v>32</v>
      </c>
      <c r="B62" s="56" t="s">
        <v>74</v>
      </c>
      <c r="C62" s="56" t="s">
        <v>76</v>
      </c>
      <c r="D62" s="7">
        <f>IF($D$4="interior", F38*G38*B50,  IF($D$4="exterior", J38*K38*B50, "ERROR"))</f>
        <v>134.61342736816405</v>
      </c>
      <c r="E62" s="7">
        <f>IF($D$4="interior", H38*I38*B50,  IF($D$4="exterior", L38*M38*B50, "ERROR"))</f>
        <v>44.871142456054685</v>
      </c>
      <c r="F62" s="1" t="s">
        <v>53</v>
      </c>
    </row>
    <row r="63" spans="1:13" ht="18" customHeight="1">
      <c r="A63" s="56" t="s">
        <v>32</v>
      </c>
      <c r="B63" s="56" t="s">
        <v>74</v>
      </c>
      <c r="C63" s="56" t="s">
        <v>77</v>
      </c>
      <c r="D63" s="7">
        <f>IF($D$4="interior", F39*G39*B50,  IF($D$4="exterior", J39*K39*B50, "ERROR"))</f>
        <v>134.61342736816405</v>
      </c>
      <c r="E63" s="7">
        <f>IF($D$4="interior", H39*I39*B50,  IF($D$4="exterior", L39*M39*B50, "ERROR"))</f>
        <v>44.871142456054685</v>
      </c>
      <c r="F63" s="1" t="s">
        <v>53</v>
      </c>
    </row>
    <row r="64" spans="1:13" ht="18" customHeight="1">
      <c r="A64" s="56" t="s">
        <v>32</v>
      </c>
      <c r="B64" s="56" t="s">
        <v>78</v>
      </c>
      <c r="C64" s="56" t="s">
        <v>75</v>
      </c>
      <c r="D64" s="7">
        <f>IF($D$4="interior", F37*G37*B51,  IF($D$4="exterior", J37*K37*B51, "ERROR"))</f>
        <v>47.093115234374999</v>
      </c>
      <c r="E64" s="7">
        <f>IF($D$4="interior", H37*I37*B51,  IF($D$4="exterior", L37*M37*B51, "ERROR"))</f>
        <v>31.395410156249998</v>
      </c>
      <c r="F64" s="1" t="s">
        <v>53</v>
      </c>
    </row>
    <row r="65" spans="1:12" ht="18" customHeight="1">
      <c r="A65" s="56" t="s">
        <v>32</v>
      </c>
      <c r="B65" s="56" t="s">
        <v>78</v>
      </c>
      <c r="C65" s="56" t="s">
        <v>76</v>
      </c>
      <c r="D65" s="7">
        <f>IF($D$4="interior", F38*G38*B51,  IF($D$4="exterior", J38*K38*B51, "ERROR"))</f>
        <v>109.32330322265626</v>
      </c>
      <c r="E65" s="7">
        <f>IF($D$4="interior", H38*I38*B51,  IF($D$4="exterior", L38*M38*B51, "ERROR"))</f>
        <v>36.44110107421875</v>
      </c>
      <c r="F65" s="1" t="s">
        <v>53</v>
      </c>
    </row>
    <row r="66" spans="1:12" ht="18" customHeight="1">
      <c r="A66" s="56" t="s">
        <v>32</v>
      </c>
      <c r="B66" s="56" t="s">
        <v>78</v>
      </c>
      <c r="C66" s="56" t="s">
        <v>77</v>
      </c>
      <c r="D66" s="7">
        <f>IF($D$4="interior", F39*G39*B51,  IF($D$4="exterior", J39*K39*B51, "ERROR"))</f>
        <v>109.32330322265626</v>
      </c>
      <c r="E66" s="7">
        <f>IF($D$4="interior", H39*I39*B51,  IF($D$4="exterior", L39*M39*B51, "ERROR"))</f>
        <v>36.44110107421875</v>
      </c>
      <c r="F66" s="1" t="s">
        <v>53</v>
      </c>
    </row>
    <row r="69" spans="1:12" ht="18" customHeight="1">
      <c r="A69" s="52" t="s">
        <v>79</v>
      </c>
    </row>
    <row r="70" spans="1:12">
      <c r="A70" s="56" t="s">
        <v>27</v>
      </c>
      <c r="B70" s="56" t="s">
        <v>73</v>
      </c>
      <c r="C70" s="56" t="s">
        <v>28</v>
      </c>
      <c r="D70" s="56" t="s">
        <v>29</v>
      </c>
    </row>
    <row r="71" spans="1:12" ht="18" customHeight="1">
      <c r="A71" s="56" t="s">
        <v>30</v>
      </c>
      <c r="B71" s="56" t="s">
        <v>75</v>
      </c>
      <c r="C71" s="7">
        <f t="shared" ref="C71:D73" si="0">1.2*D55+1.6*D58</f>
        <v>364.91588883750001</v>
      </c>
      <c r="D71" s="7">
        <f t="shared" si="0"/>
        <v>243.27725922500002</v>
      </c>
      <c r="E71" t="s">
        <v>53</v>
      </c>
    </row>
    <row r="72" spans="1:12" ht="18" customHeight="1">
      <c r="A72" s="56" t="s">
        <v>30</v>
      </c>
      <c r="B72" s="56" t="s">
        <v>76</v>
      </c>
      <c r="C72" s="7">
        <f t="shared" si="0"/>
        <v>304.09657403125004</v>
      </c>
      <c r="D72" s="7">
        <f t="shared" si="0"/>
        <v>0</v>
      </c>
      <c r="E72" t="s">
        <v>53</v>
      </c>
    </row>
    <row r="73" spans="1:12" ht="18" customHeight="1">
      <c r="A73" s="56" t="s">
        <v>30</v>
      </c>
      <c r="B73" s="56" t="s">
        <v>77</v>
      </c>
      <c r="C73" s="7">
        <f t="shared" si="0"/>
        <v>614.04115910156247</v>
      </c>
      <c r="D73" s="7">
        <f t="shared" si="0"/>
        <v>197.66110095703124</v>
      </c>
      <c r="E73" t="s">
        <v>53</v>
      </c>
    </row>
    <row r="74" spans="1:12" ht="18" customHeight="1">
      <c r="A74" s="56" t="s">
        <v>32</v>
      </c>
      <c r="B74" s="56" t="s">
        <v>75</v>
      </c>
      <c r="C74" s="7">
        <f t="shared" ref="C74:D76" si="1">1.2*D61+1.6*D64</f>
        <v>144.93377144531249</v>
      </c>
      <c r="D74" s="7">
        <f t="shared" si="1"/>
        <v>96.622514296874982</v>
      </c>
      <c r="E74" t="s">
        <v>53</v>
      </c>
    </row>
    <row r="75" spans="1:12" ht="18" customHeight="1">
      <c r="A75" s="56" t="s">
        <v>32</v>
      </c>
      <c r="B75" s="56" t="s">
        <v>76</v>
      </c>
      <c r="C75" s="7">
        <f t="shared" si="1"/>
        <v>336.45339799804691</v>
      </c>
      <c r="D75" s="7">
        <f t="shared" si="1"/>
        <v>112.15113266601563</v>
      </c>
      <c r="E75" t="s">
        <v>53</v>
      </c>
    </row>
    <row r="76" spans="1:12" ht="18" customHeight="1">
      <c r="A76" s="56" t="s">
        <v>32</v>
      </c>
      <c r="B76" s="56" t="s">
        <v>77</v>
      </c>
      <c r="C76" s="7">
        <f t="shared" si="1"/>
        <v>336.45339799804691</v>
      </c>
      <c r="D76" s="7">
        <f t="shared" si="1"/>
        <v>112.15113266601563</v>
      </c>
      <c r="E76" t="s">
        <v>53</v>
      </c>
    </row>
    <row r="78" spans="1:12" ht="18" customHeight="1">
      <c r="A78" s="21" t="s">
        <v>80</v>
      </c>
      <c r="F78" t="s">
        <v>81</v>
      </c>
    </row>
    <row r="79" spans="1:12">
      <c r="A79" s="56" t="s">
        <v>27</v>
      </c>
      <c r="B79" s="56" t="s">
        <v>73</v>
      </c>
      <c r="C79" t="s">
        <v>28</v>
      </c>
      <c r="D79" t="s">
        <v>29</v>
      </c>
      <c r="F79" s="56" t="s">
        <v>27</v>
      </c>
      <c r="G79" s="56" t="s">
        <v>73</v>
      </c>
      <c r="H79" t="s">
        <v>28</v>
      </c>
      <c r="I79" t="s">
        <v>29</v>
      </c>
      <c r="K79" t="s">
        <v>82</v>
      </c>
    </row>
    <row r="80" spans="1:12" ht="18.75" customHeight="1">
      <c r="A80" s="56" t="s">
        <v>30</v>
      </c>
      <c r="B80" s="56" t="s">
        <v>75</v>
      </c>
      <c r="C80" s="10">
        <f t="shared" ref="C80:D85" si="2">IF(ISBLANK(K80),H80,K80)</f>
        <v>7.0695955672222226</v>
      </c>
      <c r="D80" s="10">
        <f t="shared" si="2"/>
        <v>4.7130637114814808</v>
      </c>
      <c r="E80" t="s">
        <v>83</v>
      </c>
      <c r="F80" s="56" t="s">
        <v>30</v>
      </c>
      <c r="G80" s="56" t="s">
        <v>75</v>
      </c>
      <c r="H80" s="10">
        <f>MAX(C71*12000/d*0.85/54000, 0.0025*l_1c*12*d)</f>
        <v>7.0695955672222226</v>
      </c>
      <c r="I80" s="10">
        <f>MAX(D71*12000/d*0.85/54000, 0.0025*l_1m*12*d)</f>
        <v>4.7130637114814808</v>
      </c>
      <c r="J80" t="s">
        <v>83</v>
      </c>
      <c r="K80" s="9"/>
      <c r="L80" s="9"/>
    </row>
    <row r="81" spans="1:17" ht="18.75" customHeight="1">
      <c r="A81" s="56" t="s">
        <v>30</v>
      </c>
      <c r="B81" s="56" t="s">
        <v>76</v>
      </c>
      <c r="C81" s="10">
        <f t="shared" si="2"/>
        <v>5.8913296393518522</v>
      </c>
      <c r="D81" s="10">
        <f t="shared" si="2"/>
        <v>3.2175000000000002</v>
      </c>
      <c r="E81" t="s">
        <v>83</v>
      </c>
      <c r="F81" s="56" t="s">
        <v>30</v>
      </c>
      <c r="G81" s="56" t="s">
        <v>76</v>
      </c>
      <c r="H81" s="10">
        <f>MAX(C72*12000/d*0.85/54000, 0.0025*l_1c*12*d)</f>
        <v>5.8913296393518522</v>
      </c>
      <c r="I81" s="10">
        <f>MAX(D72*12000/d*0.85/54000, 0.0025*l_1m*12*d)</f>
        <v>3.2175000000000002</v>
      </c>
      <c r="J81" t="s">
        <v>83</v>
      </c>
      <c r="K81" s="9"/>
      <c r="L81" s="9"/>
    </row>
    <row r="82" spans="1:17" ht="18.75" customHeight="1">
      <c r="A82" s="56" t="s">
        <v>30</v>
      </c>
      <c r="B82" s="56" t="s">
        <v>77</v>
      </c>
      <c r="C82" s="10">
        <f t="shared" si="2"/>
        <v>11.89595407946047</v>
      </c>
      <c r="D82" s="10">
        <f t="shared" si="2"/>
        <v>3.8293318703926285</v>
      </c>
      <c r="E82" t="s">
        <v>83</v>
      </c>
      <c r="F82" s="56" t="s">
        <v>30</v>
      </c>
      <c r="G82" s="56" t="s">
        <v>77</v>
      </c>
      <c r="H82" s="10">
        <f>MAX(C73*12000/d*0.85/54000, 0.0025*l_1c*12*d)</f>
        <v>11.89595407946047</v>
      </c>
      <c r="I82" s="10">
        <f>MAX(D73*12000/d*0.85/54000, 0.0025*l_1m*12*d)</f>
        <v>3.8293318703926285</v>
      </c>
      <c r="J82" t="s">
        <v>83</v>
      </c>
      <c r="K82" s="9"/>
      <c r="L82" s="9"/>
    </row>
    <row r="83" spans="1:17" ht="18.75" customHeight="1">
      <c r="A83" s="56" t="s">
        <v>32</v>
      </c>
      <c r="B83" s="56" t="s">
        <v>75</v>
      </c>
      <c r="C83" s="10">
        <f t="shared" si="2"/>
        <v>3.2175000000000002</v>
      </c>
      <c r="D83" s="10">
        <f t="shared" si="2"/>
        <v>7.02</v>
      </c>
      <c r="E83" t="s">
        <v>83</v>
      </c>
      <c r="F83" s="56" t="s">
        <v>32</v>
      </c>
      <c r="G83" s="56" t="s">
        <v>75</v>
      </c>
      <c r="H83" s="10">
        <f>MAX(C74*12000/d*0.85/54000, 0.0025*l_2c*12*d)</f>
        <v>3.2175000000000002</v>
      </c>
      <c r="I83" s="10">
        <f>MAX(D74*12000/d*0.85/54000, 0.0025*l_2m*12*d)</f>
        <v>7.02</v>
      </c>
      <c r="J83" t="s">
        <v>83</v>
      </c>
      <c r="K83" s="9"/>
      <c r="L83" s="9"/>
    </row>
    <row r="84" spans="1:17" ht="18.75" customHeight="1">
      <c r="A84" s="56" t="s">
        <v>32</v>
      </c>
      <c r="B84" s="56" t="s">
        <v>76</v>
      </c>
      <c r="C84" s="10">
        <f t="shared" si="2"/>
        <v>6.51818548828125</v>
      </c>
      <c r="D84" s="10">
        <f t="shared" si="2"/>
        <v>7.02</v>
      </c>
      <c r="E84" t="s">
        <v>83</v>
      </c>
      <c r="F84" s="56" t="s">
        <v>32</v>
      </c>
      <c r="G84" s="56" t="s">
        <v>76</v>
      </c>
      <c r="H84" s="10">
        <f>MAX(C75*12000/d*0.85/54000, 0.0025*l_2c*12*d)</f>
        <v>6.51818548828125</v>
      </c>
      <c r="I84" s="10">
        <f>MAX(D75*12000/d*0.85/54000, 0.0025*l_2m*12*d)</f>
        <v>7.02</v>
      </c>
      <c r="J84" t="s">
        <v>83</v>
      </c>
      <c r="K84" s="9"/>
      <c r="L84" s="9"/>
    </row>
    <row r="85" spans="1:17" ht="18.75" customHeight="1">
      <c r="A85" s="56" t="s">
        <v>32</v>
      </c>
      <c r="B85" s="56" t="s">
        <v>77</v>
      </c>
      <c r="C85" s="10">
        <f t="shared" si="2"/>
        <v>6.51818548828125</v>
      </c>
      <c r="D85" s="10">
        <f t="shared" si="2"/>
        <v>7.02</v>
      </c>
      <c r="E85" t="s">
        <v>83</v>
      </c>
      <c r="F85" s="56" t="s">
        <v>32</v>
      </c>
      <c r="G85" s="56" t="s">
        <v>77</v>
      </c>
      <c r="H85" s="10">
        <f>MAX(C76*12000/d*0.85/54000, 0.0025*l_2c*12*d)</f>
        <v>6.51818548828125</v>
      </c>
      <c r="I85" s="10">
        <f>MAX(D76*12000/d*0.85/54000, 0.0025*l_2m*12*d)</f>
        <v>7.02</v>
      </c>
      <c r="J85" t="s">
        <v>83</v>
      </c>
      <c r="K85" s="9"/>
      <c r="L85" s="9"/>
    </row>
    <row r="87" spans="1:17" ht="18" customHeight="1">
      <c r="A87" s="21" t="s">
        <v>84</v>
      </c>
    </row>
    <row r="88" spans="1:17">
      <c r="A88" s="56" t="s">
        <v>27</v>
      </c>
      <c r="B88" s="56" t="s">
        <v>73</v>
      </c>
      <c r="C88" t="s">
        <v>28</v>
      </c>
      <c r="D88" t="s">
        <v>29</v>
      </c>
    </row>
    <row r="89" spans="1:17" ht="18.75" customHeight="1">
      <c r="A89" s="56" t="s">
        <v>30</v>
      </c>
      <c r="B89" s="56" t="s">
        <v>75</v>
      </c>
      <c r="C89" s="7">
        <f>1/12*l_1c*12*h^3</f>
        <v>14641</v>
      </c>
      <c r="D89" s="7">
        <f>1/12*l_1m*12*h^3</f>
        <v>14641</v>
      </c>
      <c r="E89" t="s">
        <v>85</v>
      </c>
    </row>
    <row r="90" spans="1:17" ht="18.75" customHeight="1">
      <c r="A90" s="56" t="s">
        <v>30</v>
      </c>
      <c r="B90" s="56" t="s">
        <v>76</v>
      </c>
      <c r="C90" s="7">
        <f>1/12*l_1c*12*h^3</f>
        <v>14641</v>
      </c>
      <c r="D90" s="7">
        <f>1/12*l_1m*12*h^3</f>
        <v>14641</v>
      </c>
      <c r="E90" t="s">
        <v>85</v>
      </c>
    </row>
    <row r="91" spans="1:17" ht="18.75" customHeight="1">
      <c r="A91" s="56" t="s">
        <v>30</v>
      </c>
      <c r="B91" s="56" t="s">
        <v>77</v>
      </c>
      <c r="C91" s="7">
        <f>1/12*l_1c*12*h^3</f>
        <v>14641</v>
      </c>
      <c r="D91" s="7">
        <f>1/12*l_1m*12*h^3</f>
        <v>14641</v>
      </c>
      <c r="E91" t="s">
        <v>85</v>
      </c>
    </row>
    <row r="92" spans="1:17" ht="18.75" customHeight="1">
      <c r="A92" s="56" t="s">
        <v>32</v>
      </c>
      <c r="B92" s="56" t="s">
        <v>75</v>
      </c>
      <c r="C92" s="7">
        <f>1/12*l_2c*12*h^3</f>
        <v>14641</v>
      </c>
      <c r="D92" s="7">
        <f>1/12*l_2m*12*h^3</f>
        <v>31944</v>
      </c>
      <c r="E92" t="s">
        <v>85</v>
      </c>
    </row>
    <row r="93" spans="1:17" ht="18.75" customHeight="1">
      <c r="A93" s="56" t="s">
        <v>32</v>
      </c>
      <c r="B93" s="56" t="s">
        <v>76</v>
      </c>
      <c r="C93" s="7">
        <f>1/12*l_2c*12*h^3</f>
        <v>14641</v>
      </c>
      <c r="D93" s="7">
        <f>1/12*l_2m*12*h^3</f>
        <v>31944</v>
      </c>
      <c r="E93" t="s">
        <v>85</v>
      </c>
    </row>
    <row r="94" spans="1:17" ht="18.75" customHeight="1">
      <c r="A94" s="56" t="s">
        <v>32</v>
      </c>
      <c r="B94" s="56" t="s">
        <v>77</v>
      </c>
      <c r="C94" s="7">
        <f>1/12*l_2c*12*h^3</f>
        <v>14641</v>
      </c>
      <c r="D94" s="7">
        <f>1/12*l_2m*12*h^3</f>
        <v>31944</v>
      </c>
      <c r="E94" t="s">
        <v>85</v>
      </c>
    </row>
    <row r="95" spans="1:17" ht="15.75" customHeight="1" thickBot="1"/>
    <row r="96" spans="1:17">
      <c r="F96" s="38" t="s">
        <v>28</v>
      </c>
      <c r="G96" s="39" t="s">
        <v>29</v>
      </c>
      <c r="H96" s="39" t="s">
        <v>28</v>
      </c>
      <c r="I96" s="39" t="s">
        <v>29</v>
      </c>
      <c r="J96" s="39" t="s">
        <v>28</v>
      </c>
      <c r="K96" s="39" t="s">
        <v>29</v>
      </c>
      <c r="L96" s="39" t="s">
        <v>28</v>
      </c>
      <c r="M96" s="39" t="s">
        <v>29</v>
      </c>
      <c r="N96" s="39" t="s">
        <v>28</v>
      </c>
      <c r="O96" s="39" t="s">
        <v>29</v>
      </c>
      <c r="P96" s="39" t="s">
        <v>28</v>
      </c>
      <c r="Q96" s="40" t="s">
        <v>29</v>
      </c>
    </row>
    <row r="97" spans="1:17" ht="18" customHeight="1">
      <c r="A97" s="21" t="s">
        <v>86</v>
      </c>
      <c r="F97" s="41" t="s">
        <v>87</v>
      </c>
      <c r="G97" s="42" t="s">
        <v>87</v>
      </c>
      <c r="H97" s="42" t="s">
        <v>88</v>
      </c>
      <c r="I97" s="42" t="s">
        <v>88</v>
      </c>
      <c r="J97" s="42" t="s">
        <v>89</v>
      </c>
      <c r="K97" s="42" t="s">
        <v>89</v>
      </c>
      <c r="L97" s="42" t="s">
        <v>90</v>
      </c>
      <c r="M97" s="42" t="s">
        <v>90</v>
      </c>
      <c r="N97" s="42" t="s">
        <v>91</v>
      </c>
      <c r="O97" s="42" t="s">
        <v>91</v>
      </c>
      <c r="P97" s="43" t="s">
        <v>92</v>
      </c>
      <c r="Q97" s="44" t="s">
        <v>92</v>
      </c>
    </row>
    <row r="98" spans="1:17" ht="18" customHeight="1" thickBot="1">
      <c r="A98" s="56" t="s">
        <v>27</v>
      </c>
      <c r="B98" s="56" t="s">
        <v>73</v>
      </c>
      <c r="C98" s="56" t="s">
        <v>28</v>
      </c>
      <c r="D98" s="56" t="s">
        <v>29</v>
      </c>
      <c r="F98" s="15" t="s">
        <v>83</v>
      </c>
      <c r="G98" s="16" t="s">
        <v>83</v>
      </c>
      <c r="H98" s="16" t="s">
        <v>10</v>
      </c>
      <c r="I98" s="16" t="s">
        <v>10</v>
      </c>
      <c r="J98" s="16" t="s">
        <v>85</v>
      </c>
      <c r="K98" s="16" t="s">
        <v>85</v>
      </c>
      <c r="L98" s="16" t="s">
        <v>53</v>
      </c>
      <c r="M98" s="16" t="s">
        <v>53</v>
      </c>
      <c r="N98" s="16"/>
      <c r="O98" s="16"/>
      <c r="P98" s="26"/>
      <c r="Q98" s="29"/>
    </row>
    <row r="99" spans="1:17" ht="18.75" customHeight="1">
      <c r="A99" s="56" t="s">
        <v>30</v>
      </c>
      <c r="B99" s="56" t="s">
        <v>75</v>
      </c>
      <c r="C99" s="7">
        <f t="shared" ref="C99:D104" si="3">IF(N99&lt;1, J99/(1-N99^2*(1-J99/C89)), C89)</f>
        <v>2982.2197023902313</v>
      </c>
      <c r="D99" s="7">
        <f t="shared" si="3"/>
        <v>2247.3153003022194</v>
      </c>
      <c r="E99" t="s">
        <v>85</v>
      </c>
      <c r="F99" s="30">
        <f>l_1c*12/(n*C80)</f>
        <v>3.1478465622803138</v>
      </c>
      <c r="G99" s="24">
        <f>l_1m*12/(n*D80)</f>
        <v>4.7217698434204713</v>
      </c>
      <c r="H99" s="24">
        <f t="shared" ref="H99:I104" si="4">(SQRT(2*d*F99+1) - 1)/F99</f>
        <v>2.191431927218666</v>
      </c>
      <c r="I99" s="24">
        <f t="shared" si="4"/>
        <v>1.8314135459201859</v>
      </c>
      <c r="J99" s="25">
        <f>MIN(l_1c * 12*H99^3/3+n*C80*(d-H99)^2,C89)</f>
        <v>2858.797938869574</v>
      </c>
      <c r="K99" s="25">
        <f>MIN(l_1m * 12*I99^3/3+n*D80*(d-I99)^2,D89)</f>
        <v>2023.2082454981653</v>
      </c>
      <c r="L99" s="25">
        <f t="shared" ref="L99:M104" si="5">f_r*C89/y_t * 1 / 12000</f>
        <v>59.99889426715503</v>
      </c>
      <c r="M99" s="25">
        <f t="shared" si="5"/>
        <v>59.99889426715503</v>
      </c>
      <c r="N99" s="24">
        <f t="shared" ref="N99:O101" si="6">IF((D55+D58)=0, 1.1, L99/(D55+D58))</f>
        <v>0.22677657575199875</v>
      </c>
      <c r="O99" s="24">
        <f t="shared" si="6"/>
        <v>0.34016486362799814</v>
      </c>
      <c r="P99" s="24">
        <f>C80/(l_1c*d)</f>
        <v>6.5916974985754995E-2</v>
      </c>
      <c r="Q99" s="31">
        <f>D80/(l_1m*d)</f>
        <v>4.3944649990503321E-2</v>
      </c>
    </row>
    <row r="100" spans="1:17" ht="18.75" customHeight="1">
      <c r="A100" s="56" t="s">
        <v>30</v>
      </c>
      <c r="B100" s="56" t="s">
        <v>76</v>
      </c>
      <c r="C100" s="7">
        <f t="shared" si="3"/>
        <v>2611.739915890053</v>
      </c>
      <c r="D100" s="7">
        <f t="shared" si="3"/>
        <v>14641</v>
      </c>
      <c r="E100" t="s">
        <v>85</v>
      </c>
      <c r="F100" s="32">
        <f>l_1c*12/(n*C81)</f>
        <v>3.7774158747363771</v>
      </c>
      <c r="G100" s="22">
        <f>l_1m*12/(n*D81)</f>
        <v>6.9165507701608755</v>
      </c>
      <c r="H100" s="22">
        <f t="shared" si="4"/>
        <v>2.0227000390600169</v>
      </c>
      <c r="I100" s="22">
        <f t="shared" si="4"/>
        <v>1.5407168457379401</v>
      </c>
      <c r="J100" s="23">
        <f>MIN(l_1c * 12*H100^3/3+n*C81*(d-H100)^2,C90)</f>
        <v>2450.700404633541</v>
      </c>
      <c r="K100" s="23">
        <f>MIN(l_1m * 12*I100^3/3+n*D81*(d-I100)^2,D90)</f>
        <v>1447.0836396427526</v>
      </c>
      <c r="L100" s="23">
        <f t="shared" si="5"/>
        <v>59.99889426715503</v>
      </c>
      <c r="M100" s="23">
        <f t="shared" si="5"/>
        <v>59.99889426715503</v>
      </c>
      <c r="N100" s="22">
        <f t="shared" si="6"/>
        <v>0.27213189090239848</v>
      </c>
      <c r="O100" s="22">
        <f t="shared" si="6"/>
        <v>1.1000000000000001</v>
      </c>
      <c r="P100" s="22">
        <f>C81/(l_1c*d)</f>
        <v>5.4930812488129158E-2</v>
      </c>
      <c r="Q100" s="33">
        <f>D81/(l_1m*d)</f>
        <v>3.0000000000000002E-2</v>
      </c>
    </row>
    <row r="101" spans="1:17" ht="18.75" customHeight="1">
      <c r="A101" s="56" t="s">
        <v>30</v>
      </c>
      <c r="B101" s="56" t="s">
        <v>77</v>
      </c>
      <c r="C101" s="7">
        <f t="shared" si="3"/>
        <v>4428.9103288344513</v>
      </c>
      <c r="D101" s="7">
        <f t="shared" si="3"/>
        <v>2001.5361775282754</v>
      </c>
      <c r="E101" t="s">
        <v>85</v>
      </c>
      <c r="F101" s="32">
        <f>l_1c*12/(n*C82)</f>
        <v>1.8707202427265868</v>
      </c>
      <c r="G101" s="22">
        <f>l_1m*12/(n*D82)</f>
        <v>5.8114582011171771</v>
      </c>
      <c r="H101" s="22">
        <f t="shared" si="4"/>
        <v>2.7379898984924287</v>
      </c>
      <c r="I101" s="22">
        <f t="shared" si="4"/>
        <v>1.667776557403851</v>
      </c>
      <c r="J101" s="23">
        <f>MIN(l_1c * 12*H101^3/3+n*C82*(d-H101)^2,C91)</f>
        <v>4372.4919683190383</v>
      </c>
      <c r="K101" s="23">
        <f>MIN(l_1m * 12*I101^3/3+n*D82*(d-I101)^2,D91)</f>
        <v>1687.8260409767945</v>
      </c>
      <c r="L101" s="23">
        <f t="shared" si="5"/>
        <v>59.99889426715503</v>
      </c>
      <c r="M101" s="23">
        <f t="shared" si="5"/>
        <v>59.99889426715503</v>
      </c>
      <c r="N101" s="22">
        <f t="shared" si="6"/>
        <v>0.134770079304045</v>
      </c>
      <c r="O101" s="22">
        <f t="shared" si="6"/>
        <v>0.42090087152222389</v>
      </c>
      <c r="P101" s="22">
        <f>C82/(l_1c*d)</f>
        <v>0.11091798675487617</v>
      </c>
      <c r="Q101" s="33">
        <f>D82/(l_1m*d)</f>
        <v>3.5704726064266931E-2</v>
      </c>
    </row>
    <row r="102" spans="1:17" ht="18.75" customHeight="1">
      <c r="A102" s="56" t="s">
        <v>32</v>
      </c>
      <c r="B102" s="56" t="s">
        <v>75</v>
      </c>
      <c r="C102" s="7">
        <f t="shared" si="3"/>
        <v>2049.1011621208772</v>
      </c>
      <c r="D102" s="7">
        <f t="shared" si="3"/>
        <v>31944</v>
      </c>
      <c r="E102" t="s">
        <v>85</v>
      </c>
      <c r="F102" s="32">
        <f>l_2c*12/(n*C83)</f>
        <v>6.9165507701608755</v>
      </c>
      <c r="G102" s="22">
        <f>l_2m*12/(n*D83)</f>
        <v>6.9165507701608773</v>
      </c>
      <c r="H102" s="22">
        <f t="shared" si="4"/>
        <v>1.5407168457379401</v>
      </c>
      <c r="I102" s="22">
        <f t="shared" si="4"/>
        <v>1.5407168457379401</v>
      </c>
      <c r="J102" s="23">
        <f>MIN(l_2c * 12*H102^3/3+n*C83*(d-H102)^2,C92)</f>
        <v>1447.0836396427526</v>
      </c>
      <c r="K102" s="23">
        <f>MIN(l_2m * 12*I102^3/3+n*D83*(d-I102)^2,D92)</f>
        <v>3157.2733955841873</v>
      </c>
      <c r="L102" s="23">
        <f t="shared" si="5"/>
        <v>59.99889426715503</v>
      </c>
      <c r="M102" s="23">
        <f t="shared" si="5"/>
        <v>130.90667840106553</v>
      </c>
      <c r="N102" s="22">
        <f t="shared" ref="N102:O104" si="7">IF((D61+D64)=0, 1.1, L102/(D61+D64))</f>
        <v>0.57098062710174335</v>
      </c>
      <c r="O102" s="22">
        <f t="shared" si="7"/>
        <v>1.8686638705147969</v>
      </c>
      <c r="P102" s="22">
        <f>C83/(l_2c*d)</f>
        <v>3.0000000000000002E-2</v>
      </c>
      <c r="Q102" s="33">
        <f>D83/(l_2m*d)</f>
        <v>0.03</v>
      </c>
    </row>
    <row r="103" spans="1:17" ht="18.75" customHeight="1">
      <c r="A103" s="56" t="s">
        <v>32</v>
      </c>
      <c r="B103" s="56" t="s">
        <v>76</v>
      </c>
      <c r="C103" s="7">
        <f t="shared" si="3"/>
        <v>2808.9980308045488</v>
      </c>
      <c r="D103" s="7">
        <f t="shared" si="3"/>
        <v>31944</v>
      </c>
      <c r="E103" t="s">
        <v>85</v>
      </c>
      <c r="F103" s="32">
        <f>l_2c*12/(n*C84)</f>
        <v>3.4141406596977153</v>
      </c>
      <c r="G103" s="22">
        <f>l_2m*12/(n*D84)</f>
        <v>6.9165507701608773</v>
      </c>
      <c r="H103" s="22">
        <f t="shared" si="4"/>
        <v>2.1148650140092564</v>
      </c>
      <c r="I103" s="22">
        <f t="shared" si="4"/>
        <v>1.5407168457379401</v>
      </c>
      <c r="J103" s="23">
        <f>MIN(l_2c * 12*H103^3/3+n*C84*(d-H103)^2,C93)</f>
        <v>2670.0535571889327</v>
      </c>
      <c r="K103" s="23">
        <f>MIN(l_2m * 12*I103^3/3+n*D84*(d-I103)^2,D93)</f>
        <v>3157.2733955841873</v>
      </c>
      <c r="L103" s="23">
        <f t="shared" si="5"/>
        <v>59.99889426715503</v>
      </c>
      <c r="M103" s="23">
        <f t="shared" si="5"/>
        <v>130.90667840106553</v>
      </c>
      <c r="N103" s="22">
        <f t="shared" si="7"/>
        <v>0.24596088552075096</v>
      </c>
      <c r="O103" s="22">
        <f t="shared" si="7"/>
        <v>1.6099257961358249</v>
      </c>
      <c r="P103" s="22">
        <f>C84/(l_2c*d)</f>
        <v>6.0775622268356644E-2</v>
      </c>
      <c r="Q103" s="33">
        <f>D84/(l_2m*d)</f>
        <v>0.03</v>
      </c>
    </row>
    <row r="104" spans="1:17" ht="19.5" customHeight="1" thickBot="1">
      <c r="A104" s="56" t="s">
        <v>32</v>
      </c>
      <c r="B104" s="56" t="s">
        <v>77</v>
      </c>
      <c r="C104" s="7">
        <f t="shared" si="3"/>
        <v>2808.9980308045488</v>
      </c>
      <c r="D104" s="7">
        <f t="shared" si="3"/>
        <v>31944</v>
      </c>
      <c r="E104" t="s">
        <v>85</v>
      </c>
      <c r="F104" s="34">
        <f>l_2c*12/(n*C85)</f>
        <v>3.4141406596977153</v>
      </c>
      <c r="G104" s="35">
        <f>l_2m*12/(n*D85)</f>
        <v>6.9165507701608773</v>
      </c>
      <c r="H104" s="35">
        <f t="shared" si="4"/>
        <v>2.1148650140092564</v>
      </c>
      <c r="I104" s="35">
        <f t="shared" si="4"/>
        <v>1.5407168457379401</v>
      </c>
      <c r="J104" s="36">
        <f>MIN(l_2c * 12*H104^3/3+n*C85*(d-H104)^2,C94)</f>
        <v>2670.0535571889327</v>
      </c>
      <c r="K104" s="36">
        <f>MIN(l_2m * 12*I104^3/3+n*D85*(d-I104)^2,D94)</f>
        <v>3157.2733955841873</v>
      </c>
      <c r="L104" s="36">
        <f t="shared" si="5"/>
        <v>59.99889426715503</v>
      </c>
      <c r="M104" s="36">
        <f t="shared" si="5"/>
        <v>130.90667840106553</v>
      </c>
      <c r="N104" s="35">
        <f t="shared" si="7"/>
        <v>0.24596088552075096</v>
      </c>
      <c r="O104" s="35">
        <f t="shared" si="7"/>
        <v>1.6099257961358249</v>
      </c>
      <c r="P104" s="35">
        <f>C85/(l_2c*d)</f>
        <v>6.0775622268356644E-2</v>
      </c>
      <c r="Q104" s="37">
        <f>D85/(l_2m*d)</f>
        <v>0.03</v>
      </c>
    </row>
    <row r="106" spans="1:17" ht="18" customHeight="1">
      <c r="A106" s="21" t="s">
        <v>93</v>
      </c>
    </row>
    <row r="107" spans="1:17">
      <c r="A107" s="56" t="s">
        <v>27</v>
      </c>
      <c r="B107" s="56" t="s">
        <v>28</v>
      </c>
      <c r="C107" t="s">
        <v>29</v>
      </c>
    </row>
    <row r="108" spans="1:17" ht="18.75" customHeight="1">
      <c r="A108" s="56" t="s">
        <v>30</v>
      </c>
      <c r="B108" s="7">
        <f>0.7*C99+ 0.15*SUM(C100:C101)</f>
        <v>3143.6513283818376</v>
      </c>
      <c r="C108" s="7">
        <f>0.7*D99+ 0.15*SUM(D100:D101)</f>
        <v>4069.501136840795</v>
      </c>
      <c r="D108" t="s">
        <v>85</v>
      </c>
    </row>
    <row r="109" spans="1:17" ht="18.75" customHeight="1">
      <c r="A109" s="56" t="s">
        <v>32</v>
      </c>
      <c r="B109" s="7">
        <f>0.7*C102+ 0.15*SUM(C103:C104)</f>
        <v>2277.0702227259785</v>
      </c>
      <c r="C109" s="7">
        <f>0.7*D102+ 0.15*SUM(D103:D104)</f>
        <v>31944</v>
      </c>
      <c r="D109" t="s">
        <v>85</v>
      </c>
    </row>
    <row r="110" spans="1:17">
      <c r="A110" s="56"/>
      <c r="B110" s="56"/>
    </row>
    <row r="111" spans="1:17" ht="18" customHeight="1">
      <c r="A111" s="21" t="s">
        <v>94</v>
      </c>
      <c r="B111" s="56"/>
    </row>
    <row r="112" spans="1:17" ht="18.75" customHeight="1">
      <c r="A112" s="3" t="s">
        <v>95</v>
      </c>
      <c r="B112" s="7">
        <f>IF(l_1/l_2&lt;1.05, B108+C109, (B108+C108+B109+C109)/2)</f>
        <v>20717.111343974306</v>
      </c>
      <c r="C112" t="s">
        <v>85</v>
      </c>
    </row>
    <row r="113" spans="1:5">
      <c r="A113" s="56"/>
      <c r="B113" s="56"/>
    </row>
    <row r="114" spans="1:5" ht="18" customHeight="1">
      <c r="A114" s="21" t="s">
        <v>96</v>
      </c>
    </row>
    <row r="115" spans="1:5" ht="18.75" customHeight="1">
      <c r="A115" s="3" t="s">
        <v>97</v>
      </c>
      <c r="B115" s="7">
        <f>IF(l_1/l_2&lt;1.05, C89+D92, (C89+D89+C92+D92)/2)</f>
        <v>37933.5</v>
      </c>
      <c r="C115" t="s">
        <v>85</v>
      </c>
    </row>
    <row r="117" spans="1:5" ht="18" customHeight="1">
      <c r="A117" s="52" t="s">
        <v>98</v>
      </c>
    </row>
    <row r="118" spans="1:5" ht="18" customHeight="1">
      <c r="A118" s="3" t="s">
        <v>99</v>
      </c>
      <c r="B118" s="10">
        <f>B112/B115</f>
        <v>0.54614289068960964</v>
      </c>
    </row>
    <row r="120" spans="1:5" ht="19.5" customHeight="1" thickBot="1">
      <c r="A120" s="52" t="s">
        <v>100</v>
      </c>
      <c r="D120" s="52" t="s">
        <v>101</v>
      </c>
    </row>
    <row r="121" spans="1:5" ht="18" customHeight="1">
      <c r="A121" s="3" t="s">
        <v>102</v>
      </c>
      <c r="B121">
        <f>IF(MAX(c_1, c_2)&gt;24, 2.1, 1.9)</f>
        <v>1.9</v>
      </c>
      <c r="D121" s="27">
        <v>1</v>
      </c>
      <c r="E121" s="28">
        <v>7.12</v>
      </c>
    </row>
    <row r="122" spans="1:5" ht="18.75" customHeight="1">
      <c r="A122" s="11" t="s">
        <v>103</v>
      </c>
      <c r="B122" s="4">
        <f>IF(B5=1,E121,
IF(AND(B5&gt;1,B5&lt;1.5),E121+(E122-E121)/(D122-D121)*(B5-D121),
IF(B5=1.5,E122,
IF(AND(B5&gt;1.5, B5&lt;2), E122+(E123-E122)/(D123-D122)*(B5-D122), E123)
)))</f>
        <v>8.9872727272727264</v>
      </c>
      <c r="D122" s="13">
        <v>1.5</v>
      </c>
      <c r="E122" s="14">
        <v>8.92</v>
      </c>
    </row>
    <row r="123" spans="1:5" ht="18" customHeight="1" thickBot="1">
      <c r="A123" s="11" t="s">
        <v>104</v>
      </c>
      <c r="B123" s="4">
        <f>(SW+SDL+LLvib)/32.2</f>
        <v>5.1216356107660452</v>
      </c>
      <c r="C123" t="s">
        <v>105</v>
      </c>
      <c r="D123" s="15">
        <v>2</v>
      </c>
      <c r="E123" s="17">
        <v>9.2899999999999991</v>
      </c>
    </row>
    <row r="124" spans="1:5" ht="18" customHeight="1">
      <c r="A124" s="3" t="s">
        <v>106</v>
      </c>
      <c r="B124" s="4">
        <f>k_2*lambda_i_sq / (2 * PI() * l_1^2) * SQRT(k_1 * E_c*144*(h/12)^3 / (12*gamma*(1-nu^2)))</f>
        <v>4.9705292046253939</v>
      </c>
      <c r="C124" t="s">
        <v>107</v>
      </c>
    </row>
    <row r="126" spans="1:5">
      <c r="A126" s="21" t="s">
        <v>108</v>
      </c>
    </row>
    <row r="127" spans="1:5">
      <c r="A127" s="3" t="s">
        <v>109</v>
      </c>
      <c r="B127" s="6">
        <f>gamma*32.2*l_1*l_2</f>
        <v>126985.83333333333</v>
      </c>
      <c r="C127" t="s">
        <v>110</v>
      </c>
    </row>
    <row r="128" spans="1:5">
      <c r="A128" s="11" t="s">
        <v>111</v>
      </c>
      <c r="B128">
        <v>0.03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66</vt:i4>
      </vt:variant>
    </vt:vector>
  </HeadingPairs>
  <TitlesOfParts>
    <vt:vector size="70" baseType="lpstr">
      <vt:lpstr>Slab_Properties</vt:lpstr>
      <vt:lpstr>Sample_Slabs</vt:lpstr>
      <vt:lpstr>AISC_Design_Guide_11_Criteria</vt:lpstr>
      <vt:lpstr>SSM_Example</vt:lpstr>
      <vt:lpstr>Slab_Properties!c_1</vt:lpstr>
      <vt:lpstr>SSM_Example!c_1</vt:lpstr>
      <vt:lpstr>Slab_Properties!c_2</vt:lpstr>
      <vt:lpstr>SSM_Example!c_2</vt:lpstr>
      <vt:lpstr>Slab_Properties!d</vt:lpstr>
      <vt:lpstr>SSM_Example!d</vt:lpstr>
      <vt:lpstr>Slab_Properties!E_c</vt:lpstr>
      <vt:lpstr>SSM_Example!E_c</vt:lpstr>
      <vt:lpstr>Slab_Properties!f_c</vt:lpstr>
      <vt:lpstr>SSM_Example!f_c</vt:lpstr>
      <vt:lpstr>SSM_Example!f_n</vt:lpstr>
      <vt:lpstr>f_n</vt:lpstr>
      <vt:lpstr>Slab_Properties!f_r</vt:lpstr>
      <vt:lpstr>SSM_Example!f_r</vt:lpstr>
      <vt:lpstr>Slab_Properties!f_y</vt:lpstr>
      <vt:lpstr>SSM_Example!f_y</vt:lpstr>
      <vt:lpstr>Slab_Properties!gamma</vt:lpstr>
      <vt:lpstr>SSM_Example!gamma</vt:lpstr>
      <vt:lpstr>Slab_Properties!h</vt:lpstr>
      <vt:lpstr>SSM_Example!h</vt:lpstr>
      <vt:lpstr>Slab_Properties!k_1</vt:lpstr>
      <vt:lpstr>SSM_Example!k_1</vt:lpstr>
      <vt:lpstr>Slab_Properties!k_2</vt:lpstr>
      <vt:lpstr>SSM_Example!k_2</vt:lpstr>
      <vt:lpstr>Slab_Properties!l_1</vt:lpstr>
      <vt:lpstr>SSM_Example!l_1</vt:lpstr>
      <vt:lpstr>Slab_Properties!l_1c</vt:lpstr>
      <vt:lpstr>SSM_Example!l_1c</vt:lpstr>
      <vt:lpstr>Slab_Properties!l_1m</vt:lpstr>
      <vt:lpstr>SSM_Example!l_1m</vt:lpstr>
      <vt:lpstr>Slab_Properties!l_2</vt:lpstr>
      <vt:lpstr>SSM_Example!l_2</vt:lpstr>
      <vt:lpstr>Slab_Properties!l_2c</vt:lpstr>
      <vt:lpstr>SSM_Example!l_2c</vt:lpstr>
      <vt:lpstr>Slab_Properties!l_2m</vt:lpstr>
      <vt:lpstr>SSM_Example!l_2m</vt:lpstr>
      <vt:lpstr>Slab_Properties!lambda_cw</vt:lpstr>
      <vt:lpstr>SSM_Example!lambda_cw</vt:lpstr>
      <vt:lpstr>Slab_Properties!lambda_i_sq</vt:lpstr>
      <vt:lpstr>SSM_Example!lambda_i_sq</vt:lpstr>
      <vt:lpstr>Slab_Properties!lambda_w</vt:lpstr>
      <vt:lpstr>SSM_Example!lambda_w</vt:lpstr>
      <vt:lpstr>Slab_Properties!LL</vt:lpstr>
      <vt:lpstr>SSM_Example!LL</vt:lpstr>
      <vt:lpstr>Slab_Properties!LLvib</vt:lpstr>
      <vt:lpstr>SSM_Example!LLvib</vt:lpstr>
      <vt:lpstr>Slab_Properties!mass</vt:lpstr>
      <vt:lpstr>SSM_Example!mass</vt:lpstr>
      <vt:lpstr>Slab_Properties!n</vt:lpstr>
      <vt:lpstr>SSM_Example!n</vt:lpstr>
      <vt:lpstr>Slab_Properties!nu</vt:lpstr>
      <vt:lpstr>SSM_Example!nu</vt:lpstr>
      <vt:lpstr>SSM_Example!q_u</vt:lpstr>
      <vt:lpstr>q_u</vt:lpstr>
      <vt:lpstr>SSM_Example!qu</vt:lpstr>
      <vt:lpstr>qu</vt:lpstr>
      <vt:lpstr>Slab_Properties!SDL</vt:lpstr>
      <vt:lpstr>SSM_Example!SDL</vt:lpstr>
      <vt:lpstr>Slab_Properties!SW</vt:lpstr>
      <vt:lpstr>SSM_Example!SW</vt:lpstr>
      <vt:lpstr>Slab_Properties!v</vt:lpstr>
      <vt:lpstr>SSM_Example!v</vt:lpstr>
      <vt:lpstr>Slab_Properties!w_c</vt:lpstr>
      <vt:lpstr>SSM_Example!w_c</vt:lpstr>
      <vt:lpstr>Slab_Properties!y_t</vt:lpstr>
      <vt:lpstr>SSM_Example!y_t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Maryanne Wachter</dc:creator>
  <cp:lastModifiedBy>Maryanne Wachter</cp:lastModifiedBy>
  <dcterms:created xsi:type="dcterms:W3CDTF">2018-11-29T13:09:35Z</dcterms:created>
  <dcterms:modified xsi:type="dcterms:W3CDTF">2018-12-04T20:59:34Z</dcterms:modified>
</cp:coreProperties>
</file>