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B60B392F-6317-40CD-853E-658899DD6CBC}" xr6:coauthVersionLast="40" xr6:coauthVersionMax="40" xr10:uidLastSave="{00000000-0000-0000-0000-000000000000}"/>
  <bookViews>
    <workbookView xWindow="0" yWindow="465" windowWidth="33600" windowHeight="18975" activeTab="3" xr2:uid="{00000000-000D-0000-FFFF-FFFF00000000}"/>
  </bookViews>
  <sheets>
    <sheet name="Slab_Properties" sheetId="1" r:id="rId1"/>
    <sheet name="FP_AISC_DG_11_Sensitive_Equip" sheetId="7" r:id="rId2"/>
    <sheet name="Drop_Slab_Properties" sheetId="6" r:id="rId3"/>
    <sheet name="DS_AISC_DG_11_Sensitive_Equip" sheetId="3" r:id="rId4"/>
    <sheet name="Batch calculations -&gt;" sheetId="5" r:id="rId5"/>
    <sheet name="Sample_Slabs" sheetId="2" r:id="rId6"/>
    <sheet name="SSM_Example" sheetId="4" r:id="rId7"/>
  </sheets>
  <definedNames>
    <definedName name="c_1" localSheetId="2">Drop_Slab_Properties!$B$6</definedName>
    <definedName name="c_1" localSheetId="1">#REF!</definedName>
    <definedName name="c_1" localSheetId="0">Slab_Properties!$B$6</definedName>
    <definedName name="c_1" localSheetId="6">SSM_Example!$B$6</definedName>
    <definedName name="c_1">#REF!</definedName>
    <definedName name="c_2" localSheetId="2">Drop_Slab_Properties!$B$7</definedName>
    <definedName name="c_2" localSheetId="1">#REF!</definedName>
    <definedName name="c_2" localSheetId="0">Slab_Properties!$B$7</definedName>
    <definedName name="c_2" localSheetId="6">SSM_Example!$B$7</definedName>
    <definedName name="c_2">#REF!</definedName>
    <definedName name="d" localSheetId="2">Drop_Slab_Properties!$B$13</definedName>
    <definedName name="d" localSheetId="1">#REF!</definedName>
    <definedName name="d" localSheetId="0">Slab_Properties!$B$13</definedName>
    <definedName name="d" localSheetId="6">SSM_Example!$B$13</definedName>
    <definedName name="d">#REF!</definedName>
    <definedName name="d_drop">Drop_Slab_Properties!$B$14</definedName>
    <definedName name="E_c" localSheetId="2">Drop_Slab_Properties!$B$11</definedName>
    <definedName name="E_c" localSheetId="1">#REF!</definedName>
    <definedName name="E_c" localSheetId="0">Slab_Properties!$B$11</definedName>
    <definedName name="E_c" localSheetId="6">SSM_Example!$B$11</definedName>
    <definedName name="E_c">#REF!</definedName>
    <definedName name="f_c" localSheetId="2">Drop_Slab_Properties!$B$9</definedName>
    <definedName name="f_c" localSheetId="1">#REF!</definedName>
    <definedName name="f_c" localSheetId="0">Slab_Properties!$B$9</definedName>
    <definedName name="f_c" localSheetId="6">SSM_Example!$B$9</definedName>
    <definedName name="f_c">#REF!</definedName>
    <definedName name="f_n" localSheetId="2">Drop_Slab_Properties!$B$130</definedName>
    <definedName name="f_n" localSheetId="6">SSM_Example!$B$124</definedName>
    <definedName name="f_n">Slab_Properties!$B$124</definedName>
    <definedName name="f_r" localSheetId="2">Drop_Slab_Properties!$B$20</definedName>
    <definedName name="f_r" localSheetId="1">#REF!</definedName>
    <definedName name="f_r" localSheetId="0">Slab_Properties!$B$18</definedName>
    <definedName name="f_r" localSheetId="6">SSM_Example!$B$18</definedName>
    <definedName name="f_r">#REF!</definedName>
    <definedName name="f_y" localSheetId="2">Drop_Slab_Properties!$B$10</definedName>
    <definedName name="f_y" localSheetId="1">#REF!</definedName>
    <definedName name="f_y" localSheetId="0">Slab_Properties!$B$10</definedName>
    <definedName name="f_y" localSheetId="6">SSM_Example!$B$10</definedName>
    <definedName name="f_y">#REF!</definedName>
    <definedName name="gamma" localSheetId="2">Drop_Slab_Properties!$B$129</definedName>
    <definedName name="gamma" localSheetId="1">#REF!</definedName>
    <definedName name="gamma" localSheetId="0">Slab_Properties!$B$123</definedName>
    <definedName name="gamma" localSheetId="6">SSM_Example!$B$123</definedName>
    <definedName name="gamma">#REF!</definedName>
    <definedName name="h" localSheetId="2">Drop_Slab_Properties!$B$12</definedName>
    <definedName name="h" localSheetId="1">#REF!</definedName>
    <definedName name="h" localSheetId="0">Slab_Properties!$B$12</definedName>
    <definedName name="h" localSheetId="6">SSM_Example!$B$12</definedName>
    <definedName name="h">#REF!</definedName>
    <definedName name="h_drop">Drop_Slab_Properties!$K$12</definedName>
    <definedName name="k_1" localSheetId="2">Drop_Slab_Properties!$B$124</definedName>
    <definedName name="k_1" localSheetId="1">#REF!</definedName>
    <definedName name="k_1" localSheetId="0">Slab_Properties!$B$118</definedName>
    <definedName name="k_1" localSheetId="6">SSM_Example!$B$118</definedName>
    <definedName name="k_1">#REF!</definedName>
    <definedName name="k_2" localSheetId="2">Drop_Slab_Properties!$B$127</definedName>
    <definedName name="k_2" localSheetId="1">#REF!</definedName>
    <definedName name="k_2" localSheetId="0">Slab_Properties!$B$121</definedName>
    <definedName name="k_2" localSheetId="6">SSM_Example!$B$121</definedName>
    <definedName name="k_2">#REF!</definedName>
    <definedName name="l_1" localSheetId="2">Drop_Slab_Properties!$B$3</definedName>
    <definedName name="l_1" localSheetId="1">#REF!</definedName>
    <definedName name="l_1" localSheetId="0">Slab_Properties!$B$3</definedName>
    <definedName name="l_1" localSheetId="6">SSM_Example!$B$3</definedName>
    <definedName name="l_1">#REF!</definedName>
    <definedName name="l_1c" localSheetId="2">Drop_Slab_Properties!$B$24</definedName>
    <definedName name="l_1c" localSheetId="1">#REF!</definedName>
    <definedName name="l_1c" localSheetId="0">Slab_Properties!$B$22</definedName>
    <definedName name="l_1c" localSheetId="6">SSM_Example!$B$22</definedName>
    <definedName name="l_1c">#REF!</definedName>
    <definedName name="l_1m" localSheetId="2">Drop_Slab_Properties!$C$24</definedName>
    <definedName name="l_1m" localSheetId="1">#REF!</definedName>
    <definedName name="l_1m" localSheetId="0">Slab_Properties!$C$22</definedName>
    <definedName name="l_1m" localSheetId="6">SSM_Example!$C$22</definedName>
    <definedName name="l_1m">#REF!</definedName>
    <definedName name="l_2" localSheetId="2">Drop_Slab_Properties!$B$4</definedName>
    <definedName name="l_2" localSheetId="1">#REF!</definedName>
    <definedName name="l_2" localSheetId="0">Slab_Properties!$B$4</definedName>
    <definedName name="l_2" localSheetId="6">SSM_Example!$B$4</definedName>
    <definedName name="l_2">#REF!</definedName>
    <definedName name="l_2c" localSheetId="2">Drop_Slab_Properties!$B$25</definedName>
    <definedName name="l_2c" localSheetId="1">#REF!</definedName>
    <definedName name="l_2c" localSheetId="0">Slab_Properties!$B$23</definedName>
    <definedName name="l_2c" localSheetId="6">SSM_Example!$B$23</definedName>
    <definedName name="l_2c">#REF!</definedName>
    <definedName name="l_2m" localSheetId="2">Drop_Slab_Properties!$C$25</definedName>
    <definedName name="l_2m" localSheetId="1">#REF!</definedName>
    <definedName name="l_2m" localSheetId="0">Slab_Properties!$C$23</definedName>
    <definedName name="l_2m" localSheetId="6">SSM_Example!$C$23</definedName>
    <definedName name="l_2m">#REF!</definedName>
    <definedName name="lambda_cw" localSheetId="2">Drop_Slab_Properties!$B$19</definedName>
    <definedName name="lambda_cw" localSheetId="1">#REF!</definedName>
    <definedName name="lambda_cw" localSheetId="0">Slab_Properties!$B$17</definedName>
    <definedName name="lambda_cw" localSheetId="6">SSM_Example!$B$17</definedName>
    <definedName name="lambda_cw">#REF!</definedName>
    <definedName name="lambda_i_sq" localSheetId="2">Drop_Slab_Properties!$B$128</definedName>
    <definedName name="lambda_i_sq" localSheetId="1">#REF!</definedName>
    <definedName name="lambda_i_sq" localSheetId="0">Slab_Properties!$B$122</definedName>
    <definedName name="lambda_i_sq" localSheetId="6">SSM_Example!$B$122</definedName>
    <definedName name="lambda_i_sq">#REF!</definedName>
    <definedName name="lambda_w" localSheetId="2">Drop_Slab_Properties!$B$19</definedName>
    <definedName name="lambda_w" localSheetId="1">#REF!</definedName>
    <definedName name="lambda_w" localSheetId="0">Slab_Properties!$B$17</definedName>
    <definedName name="lambda_w" localSheetId="6">SSM_Example!$B$17</definedName>
    <definedName name="lambda_w">#REF!</definedName>
    <definedName name="LL" localSheetId="2">Drop_Slab_Properties!$B$29</definedName>
    <definedName name="LL" localSheetId="1">#REF!</definedName>
    <definedName name="LL" localSheetId="0">Slab_Properties!$B$27</definedName>
    <definedName name="LL" localSheetId="6">SSM_Example!$B$27</definedName>
    <definedName name="LL">#REF!</definedName>
    <definedName name="LLvib" localSheetId="2">Drop_Slab_Properties!$B$30</definedName>
    <definedName name="LLvib" localSheetId="1">#REF!</definedName>
    <definedName name="LLvib" localSheetId="0">Slab_Properties!$B$28</definedName>
    <definedName name="LLvib" localSheetId="6">SSM_Example!$B$28</definedName>
    <definedName name="LLvib">#REF!</definedName>
    <definedName name="mass" localSheetId="2">Drop_Slab_Properties!$B$32</definedName>
    <definedName name="mass" localSheetId="1">#REF!</definedName>
    <definedName name="mass" localSheetId="0">Slab_Properties!$B$30</definedName>
    <definedName name="mass" localSheetId="6">SSM_Example!$B$30</definedName>
    <definedName name="mass">#REF!</definedName>
    <definedName name="n" localSheetId="2">Drop_Slab_Properties!$B$18</definedName>
    <definedName name="n" localSheetId="1">#REF!</definedName>
    <definedName name="n" localSheetId="0">Slab_Properties!$B$16</definedName>
    <definedName name="n" localSheetId="6">SSM_Example!$B$16</definedName>
    <definedName name="n">#REF!</definedName>
    <definedName name="nu" localSheetId="2">Drop_Slab_Properties!$B$8</definedName>
    <definedName name="nu" localSheetId="1">#REF!</definedName>
    <definedName name="nu" localSheetId="0">Slab_Properties!$B$8</definedName>
    <definedName name="nu" localSheetId="6">SSM_Example!$B$8</definedName>
    <definedName name="nu">#REF!</definedName>
    <definedName name="q_u" localSheetId="2">Drop_Slab_Properties!$B$38</definedName>
    <definedName name="q_u" localSheetId="6">SSM_Example!$B$36</definedName>
    <definedName name="q_u">Slab_Properties!$B$36</definedName>
    <definedName name="qu" localSheetId="2">Drop_Slab_Properties!$B$38</definedName>
    <definedName name="qu" localSheetId="6">SSM_Example!$B$36</definedName>
    <definedName name="qu">Slab_Properties!$B$36</definedName>
    <definedName name="SDL" localSheetId="2">Drop_Slab_Properties!$B$28</definedName>
    <definedName name="SDL" localSheetId="1">#REF!</definedName>
    <definedName name="SDL" localSheetId="0">Slab_Properties!$B$26</definedName>
    <definedName name="SDL" localSheetId="6">SSM_Example!$B$26</definedName>
    <definedName name="SDL">#REF!</definedName>
    <definedName name="SW" localSheetId="2">Drop_Slab_Properties!$B$31</definedName>
    <definedName name="SW" localSheetId="1">#REF!</definedName>
    <definedName name="SW" localSheetId="0">Slab_Properties!$B$29</definedName>
    <definedName name="SW" localSheetId="6">SSM_Example!$B$29</definedName>
    <definedName name="SW">#REF!</definedName>
    <definedName name="v" localSheetId="2">Drop_Slab_Properties!$B$8</definedName>
    <definedName name="v" localSheetId="1">#REF!</definedName>
    <definedName name="v" localSheetId="0">Slab_Properties!$B$8</definedName>
    <definedName name="v" localSheetId="6">SSM_Example!$B$8</definedName>
    <definedName name="v">#REF!</definedName>
    <definedName name="w_c" localSheetId="2">Drop_Slab_Properties!$B$15</definedName>
    <definedName name="w_c" localSheetId="1">#REF!</definedName>
    <definedName name="w_c" localSheetId="0">Slab_Properties!$B$14</definedName>
    <definedName name="w_c" localSheetId="6">SSM_Example!$B$14</definedName>
    <definedName name="w_c">#REF!</definedName>
    <definedName name="y_t" localSheetId="2">Drop_Slab_Properties!$B$16</definedName>
    <definedName name="y_t" localSheetId="1">#REF!</definedName>
    <definedName name="y_t" localSheetId="0">Slab_Properties!$B$15</definedName>
    <definedName name="y_t" localSheetId="6">SSM_Example!$B$15</definedName>
    <definedName name="y_t">#REF!</definedName>
    <definedName name="y_tdrop">Drop_Slab_Properties!$B$17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H13" i="7"/>
  <c r="M13" i="7"/>
  <c r="L13" i="7"/>
  <c r="K13" i="7"/>
  <c r="J13" i="7"/>
  <c r="I13" i="7"/>
  <c r="B12" i="7"/>
  <c r="H12" i="7"/>
  <c r="M12" i="7"/>
  <c r="L12" i="7"/>
  <c r="K12" i="7"/>
  <c r="J12" i="7"/>
  <c r="I12" i="7"/>
  <c r="B11" i="7"/>
  <c r="J11" i="7"/>
  <c r="K11" i="7"/>
  <c r="L11" i="7"/>
  <c r="H11" i="7"/>
  <c r="M11" i="7"/>
  <c r="I11" i="7"/>
  <c r="B10" i="7"/>
  <c r="I10" i="7"/>
  <c r="M10" i="7"/>
  <c r="K10" i="7"/>
  <c r="N12" i="6"/>
  <c r="R12" i="6"/>
  <c r="B129" i="6"/>
  <c r="B127" i="6"/>
  <c r="B5" i="6"/>
  <c r="B128" i="6"/>
  <c r="B31" i="6"/>
  <c r="B50" i="6"/>
  <c r="D57" i="6"/>
  <c r="B51" i="6"/>
  <c r="D60" i="6"/>
  <c r="B19" i="6"/>
  <c r="B20" i="6"/>
  <c r="B24" i="6"/>
  <c r="C91" i="6"/>
  <c r="B16" i="6"/>
  <c r="L105" i="6"/>
  <c r="N105" i="6"/>
  <c r="B13" i="6"/>
  <c r="B11" i="6"/>
  <c r="B18" i="6"/>
  <c r="M82" i="6"/>
  <c r="C82" i="6"/>
  <c r="F105" i="6"/>
  <c r="H105" i="6"/>
  <c r="J105" i="6"/>
  <c r="C105" i="6"/>
  <c r="D58" i="6"/>
  <c r="D61" i="6"/>
  <c r="C92" i="6"/>
  <c r="B17" i="6"/>
  <c r="L106" i="6"/>
  <c r="N106" i="6"/>
  <c r="B14" i="6"/>
  <c r="M83" i="6"/>
  <c r="C83" i="6"/>
  <c r="F106" i="6"/>
  <c r="H106" i="6"/>
  <c r="J106" i="6"/>
  <c r="C106" i="6"/>
  <c r="D59" i="6"/>
  <c r="D62" i="6"/>
  <c r="C93" i="6"/>
  <c r="L107" i="6"/>
  <c r="N107" i="6"/>
  <c r="M84" i="6"/>
  <c r="C84" i="6"/>
  <c r="F107" i="6"/>
  <c r="H107" i="6"/>
  <c r="J107" i="6"/>
  <c r="C107" i="6"/>
  <c r="B114" i="6"/>
  <c r="E57" i="6"/>
  <c r="E60" i="6"/>
  <c r="C24" i="6"/>
  <c r="D91" i="6"/>
  <c r="M105" i="6"/>
  <c r="O105" i="6"/>
  <c r="N82" i="6"/>
  <c r="D82" i="6"/>
  <c r="G105" i="6"/>
  <c r="I105" i="6"/>
  <c r="K105" i="6"/>
  <c r="D105" i="6"/>
  <c r="E58" i="6"/>
  <c r="E61" i="6"/>
  <c r="O106" i="6"/>
  <c r="D92" i="6"/>
  <c r="D106" i="6"/>
  <c r="E59" i="6"/>
  <c r="E62" i="6"/>
  <c r="D93" i="6"/>
  <c r="M107" i="6"/>
  <c r="O107" i="6"/>
  <c r="N84" i="6"/>
  <c r="D84" i="6"/>
  <c r="G107" i="6"/>
  <c r="I107" i="6"/>
  <c r="K107" i="6"/>
  <c r="D107" i="6"/>
  <c r="C114" i="6"/>
  <c r="B52" i="6"/>
  <c r="D63" i="6"/>
  <c r="B53" i="6"/>
  <c r="D66" i="6"/>
  <c r="B25" i="6"/>
  <c r="C94" i="6"/>
  <c r="L108" i="6"/>
  <c r="N108" i="6"/>
  <c r="M85" i="6"/>
  <c r="C85" i="6"/>
  <c r="F108" i="6"/>
  <c r="H108" i="6"/>
  <c r="J108" i="6"/>
  <c r="C108" i="6"/>
  <c r="D64" i="6"/>
  <c r="D67" i="6"/>
  <c r="C95" i="6"/>
  <c r="L109" i="6"/>
  <c r="N109" i="6"/>
  <c r="M86" i="6"/>
  <c r="C86" i="6"/>
  <c r="F109" i="6"/>
  <c r="H109" i="6"/>
  <c r="J109" i="6"/>
  <c r="C109" i="6"/>
  <c r="D65" i="6"/>
  <c r="D68" i="6"/>
  <c r="C96" i="6"/>
  <c r="L110" i="6"/>
  <c r="N110" i="6"/>
  <c r="M87" i="6"/>
  <c r="C87" i="6"/>
  <c r="F110" i="6"/>
  <c r="H110" i="6"/>
  <c r="J110" i="6"/>
  <c r="C110" i="6"/>
  <c r="B115" i="6"/>
  <c r="E63" i="6"/>
  <c r="E66" i="6"/>
  <c r="C25" i="6"/>
  <c r="D94" i="6"/>
  <c r="M108" i="6"/>
  <c r="O108" i="6"/>
  <c r="D108" i="6"/>
  <c r="E64" i="6"/>
  <c r="E67" i="6"/>
  <c r="D95" i="6"/>
  <c r="M109" i="6"/>
  <c r="O109" i="6"/>
  <c r="D109" i="6"/>
  <c r="E65" i="6"/>
  <c r="E68" i="6"/>
  <c r="D96" i="6"/>
  <c r="M110" i="6"/>
  <c r="O110" i="6"/>
  <c r="D110" i="6"/>
  <c r="C115" i="6"/>
  <c r="B118" i="6"/>
  <c r="B100" i="6"/>
  <c r="B101" i="6"/>
  <c r="C100" i="6"/>
  <c r="C101" i="6"/>
  <c r="B121" i="6"/>
  <c r="B124" i="6"/>
  <c r="B130" i="6"/>
  <c r="B29" i="1"/>
  <c r="B48" i="1"/>
  <c r="D55" i="1"/>
  <c r="B49" i="1"/>
  <c r="D58" i="1"/>
  <c r="B17" i="1"/>
  <c r="B18" i="1"/>
  <c r="B22" i="1"/>
  <c r="C89" i="1"/>
  <c r="B15" i="1"/>
  <c r="L99" i="1"/>
  <c r="N99" i="1"/>
  <c r="B13" i="1"/>
  <c r="B11" i="1"/>
  <c r="B16" i="1"/>
  <c r="M80" i="1"/>
  <c r="C80" i="1"/>
  <c r="F99" i="1"/>
  <c r="H99" i="1"/>
  <c r="J99" i="1"/>
  <c r="C99" i="1"/>
  <c r="D56" i="1"/>
  <c r="D59" i="1"/>
  <c r="C90" i="1"/>
  <c r="L100" i="1"/>
  <c r="N100" i="1"/>
  <c r="M81" i="1"/>
  <c r="C81" i="1"/>
  <c r="F100" i="1"/>
  <c r="H100" i="1"/>
  <c r="J100" i="1"/>
  <c r="C100" i="1"/>
  <c r="D57" i="1"/>
  <c r="D60" i="1"/>
  <c r="C91" i="1"/>
  <c r="L101" i="1"/>
  <c r="N101" i="1"/>
  <c r="M82" i="1"/>
  <c r="C82" i="1"/>
  <c r="F101" i="1"/>
  <c r="H101" i="1"/>
  <c r="J101" i="1"/>
  <c r="C101" i="1"/>
  <c r="B108" i="1"/>
  <c r="E55" i="1"/>
  <c r="E58" i="1"/>
  <c r="C22" i="1"/>
  <c r="D89" i="1"/>
  <c r="M99" i="1"/>
  <c r="O99" i="1"/>
  <c r="N80" i="1"/>
  <c r="D80" i="1"/>
  <c r="G99" i="1"/>
  <c r="I99" i="1"/>
  <c r="K99" i="1"/>
  <c r="D99" i="1"/>
  <c r="E56" i="1"/>
  <c r="E59" i="1"/>
  <c r="O100" i="1"/>
  <c r="D90" i="1"/>
  <c r="D100" i="1"/>
  <c r="E57" i="1"/>
  <c r="E60" i="1"/>
  <c r="D91" i="1"/>
  <c r="M101" i="1"/>
  <c r="O101" i="1"/>
  <c r="N82" i="1"/>
  <c r="D82" i="1"/>
  <c r="G101" i="1"/>
  <c r="I101" i="1"/>
  <c r="K101" i="1"/>
  <c r="D101" i="1"/>
  <c r="C108" i="1"/>
  <c r="B50" i="1"/>
  <c r="D61" i="1"/>
  <c r="B51" i="1"/>
  <c r="D64" i="1"/>
  <c r="B23" i="1"/>
  <c r="C92" i="1"/>
  <c r="L102" i="1"/>
  <c r="N102" i="1"/>
  <c r="M83" i="1"/>
  <c r="C83" i="1"/>
  <c r="F102" i="1"/>
  <c r="H102" i="1"/>
  <c r="J102" i="1"/>
  <c r="C102" i="1"/>
  <c r="D62" i="1"/>
  <c r="D65" i="1"/>
  <c r="C93" i="1"/>
  <c r="L103" i="1"/>
  <c r="N103" i="1"/>
  <c r="M84" i="1"/>
  <c r="C84" i="1"/>
  <c r="F103" i="1"/>
  <c r="H103" i="1"/>
  <c r="J103" i="1"/>
  <c r="C103" i="1"/>
  <c r="D63" i="1"/>
  <c r="D66" i="1"/>
  <c r="C94" i="1"/>
  <c r="L104" i="1"/>
  <c r="N104" i="1"/>
  <c r="M85" i="1"/>
  <c r="C85" i="1"/>
  <c r="F104" i="1"/>
  <c r="H104" i="1"/>
  <c r="J104" i="1"/>
  <c r="C104" i="1"/>
  <c r="B109" i="1"/>
  <c r="E61" i="1"/>
  <c r="E64" i="1"/>
  <c r="C23" i="1"/>
  <c r="D92" i="1"/>
  <c r="M102" i="1"/>
  <c r="O102" i="1"/>
  <c r="D102" i="1"/>
  <c r="E62" i="1"/>
  <c r="E65" i="1"/>
  <c r="D93" i="1"/>
  <c r="M103" i="1"/>
  <c r="O103" i="1"/>
  <c r="D103" i="1"/>
  <c r="E63" i="1"/>
  <c r="E66" i="1"/>
  <c r="D94" i="1"/>
  <c r="M104" i="1"/>
  <c r="O104" i="1"/>
  <c r="D104" i="1"/>
  <c r="C109" i="1"/>
  <c r="B112" i="1"/>
  <c r="B115" i="1"/>
  <c r="M106" i="6"/>
  <c r="R12" i="1"/>
  <c r="B32" i="6"/>
  <c r="B33" i="6"/>
  <c r="P108" i="6"/>
  <c r="B121" i="4"/>
  <c r="B51" i="4"/>
  <c r="D66" i="4"/>
  <c r="E65" i="4"/>
  <c r="E64" i="4"/>
  <c r="D64" i="4"/>
  <c r="B29" i="4"/>
  <c r="B50" i="4"/>
  <c r="E63" i="4"/>
  <c r="E66" i="4"/>
  <c r="D63" i="4"/>
  <c r="B49" i="4"/>
  <c r="E60" i="4"/>
  <c r="B36" i="4"/>
  <c r="B38" i="4"/>
  <c r="B30" i="4"/>
  <c r="B31" i="4"/>
  <c r="B123" i="4"/>
  <c r="B127" i="4"/>
  <c r="B23" i="4"/>
  <c r="B22" i="4"/>
  <c r="C22" i="4"/>
  <c r="B17" i="4"/>
  <c r="B18" i="4"/>
  <c r="B15" i="4"/>
  <c r="B11" i="4"/>
  <c r="B16" i="4"/>
  <c r="B5" i="4"/>
  <c r="B122" i="4"/>
  <c r="B121" i="1"/>
  <c r="B30" i="1"/>
  <c r="B31" i="1"/>
  <c r="B123" i="1"/>
  <c r="B127" i="1"/>
  <c r="B5" i="1"/>
  <c r="B122" i="1"/>
  <c r="D78" i="6"/>
  <c r="I87" i="6"/>
  <c r="B133" i="6"/>
  <c r="P107" i="6"/>
  <c r="P106" i="6"/>
  <c r="P109" i="6"/>
  <c r="B38" i="6"/>
  <c r="B40" i="6"/>
  <c r="P105" i="6"/>
  <c r="D62" i="4"/>
  <c r="D76" i="6"/>
  <c r="I85" i="6"/>
  <c r="C77" i="6"/>
  <c r="H86" i="6"/>
  <c r="C78" i="6"/>
  <c r="H87" i="6"/>
  <c r="N83" i="6"/>
  <c r="D83" i="6"/>
  <c r="Q106" i="6"/>
  <c r="Q105" i="6"/>
  <c r="Q107" i="6"/>
  <c r="N87" i="6"/>
  <c r="D87" i="6"/>
  <c r="Q110" i="6"/>
  <c r="N85" i="6"/>
  <c r="D85" i="6"/>
  <c r="Q108" i="6"/>
  <c r="N86" i="6"/>
  <c r="D86" i="6"/>
  <c r="Q109" i="6"/>
  <c r="C76" i="6"/>
  <c r="H85" i="6"/>
  <c r="P110" i="6"/>
  <c r="D77" i="6"/>
  <c r="I86" i="6"/>
  <c r="N83" i="1"/>
  <c r="N85" i="1"/>
  <c r="N84" i="1"/>
  <c r="K12" i="3"/>
  <c r="K13" i="3"/>
  <c r="J11" i="3"/>
  <c r="J12" i="3"/>
  <c r="J13" i="3"/>
  <c r="K11" i="3"/>
  <c r="B45" i="4"/>
  <c r="B44" i="4"/>
  <c r="B43" i="4"/>
  <c r="C76" i="4"/>
  <c r="H85" i="4"/>
  <c r="C85" i="4"/>
  <c r="P104" i="4"/>
  <c r="C93" i="4"/>
  <c r="L103" i="4"/>
  <c r="D76" i="4"/>
  <c r="B36" i="1"/>
  <c r="B37" i="4"/>
  <c r="D61" i="4"/>
  <c r="C89" i="4"/>
  <c r="E61" i="4"/>
  <c r="D89" i="4"/>
  <c r="M99" i="4"/>
  <c r="C90" i="4"/>
  <c r="L100" i="4"/>
  <c r="E59" i="4"/>
  <c r="E62" i="4"/>
  <c r="D90" i="4"/>
  <c r="M100" i="4"/>
  <c r="C91" i="4"/>
  <c r="L101" i="4"/>
  <c r="D91" i="4"/>
  <c r="M101" i="4"/>
  <c r="C92" i="4"/>
  <c r="L102" i="4"/>
  <c r="D58" i="4"/>
  <c r="C23" i="4"/>
  <c r="E58" i="4"/>
  <c r="B48" i="4"/>
  <c r="D59" i="4"/>
  <c r="D65" i="4"/>
  <c r="C75" i="4"/>
  <c r="H84" i="4"/>
  <c r="C84" i="4"/>
  <c r="D60" i="4"/>
  <c r="C94" i="4"/>
  <c r="L104" i="4"/>
  <c r="N104" i="4"/>
  <c r="B39" i="6"/>
  <c r="G106" i="6"/>
  <c r="I106" i="6"/>
  <c r="K106" i="6"/>
  <c r="G108" i="6"/>
  <c r="I108" i="6"/>
  <c r="K108" i="6"/>
  <c r="B43" i="6"/>
  <c r="B42" i="6"/>
  <c r="B44" i="6"/>
  <c r="B45" i="6"/>
  <c r="B47" i="6"/>
  <c r="B46" i="6"/>
  <c r="N103" i="4"/>
  <c r="G109" i="6"/>
  <c r="I109" i="6"/>
  <c r="K109" i="6"/>
  <c r="C74" i="6"/>
  <c r="H83" i="6"/>
  <c r="D74" i="6"/>
  <c r="I83" i="6"/>
  <c r="D73" i="6"/>
  <c r="I82" i="6"/>
  <c r="N81" i="1"/>
  <c r="G110" i="6"/>
  <c r="I110" i="6"/>
  <c r="K110" i="6"/>
  <c r="D75" i="6"/>
  <c r="I84" i="6"/>
  <c r="C73" i="6"/>
  <c r="H82" i="6"/>
  <c r="C75" i="6"/>
  <c r="H84" i="6"/>
  <c r="P103" i="4"/>
  <c r="F103" i="4"/>
  <c r="H103" i="4"/>
  <c r="J103" i="4"/>
  <c r="C103" i="4"/>
  <c r="E57" i="4"/>
  <c r="D57" i="4"/>
  <c r="D56" i="4"/>
  <c r="E56" i="4"/>
  <c r="E55" i="4"/>
  <c r="D55" i="4"/>
  <c r="B42" i="4"/>
  <c r="B41" i="4"/>
  <c r="B40" i="4"/>
  <c r="C74" i="4"/>
  <c r="H83" i="4"/>
  <c r="C83" i="4"/>
  <c r="N102" i="4"/>
  <c r="D94" i="4"/>
  <c r="M104" i="4"/>
  <c r="O104" i="4"/>
  <c r="D104" i="4"/>
  <c r="D93" i="4"/>
  <c r="M103" i="4"/>
  <c r="O103" i="4"/>
  <c r="D103" i="4"/>
  <c r="D92" i="4"/>
  <c r="M102" i="4"/>
  <c r="O102" i="4"/>
  <c r="D102" i="4"/>
  <c r="C109" i="4"/>
  <c r="B38" i="1"/>
  <c r="B37" i="1"/>
  <c r="D75" i="4"/>
  <c r="I84" i="4"/>
  <c r="D84" i="4"/>
  <c r="Q103" i="4"/>
  <c r="L99" i="4"/>
  <c r="D74" i="4"/>
  <c r="I83" i="4"/>
  <c r="D83" i="4"/>
  <c r="Q102" i="4"/>
  <c r="I85" i="4"/>
  <c r="D85" i="4"/>
  <c r="Q104" i="4"/>
  <c r="M100" i="1"/>
  <c r="F104" i="4"/>
  <c r="H104" i="4"/>
  <c r="J104" i="4"/>
  <c r="C104" i="4"/>
  <c r="D71" i="1"/>
  <c r="I80" i="1"/>
  <c r="G104" i="4"/>
  <c r="I104" i="4"/>
  <c r="K104" i="4"/>
  <c r="D72" i="1"/>
  <c r="I81" i="1"/>
  <c r="D81" i="1"/>
  <c r="N99" i="4"/>
  <c r="C71" i="4"/>
  <c r="H80" i="4"/>
  <c r="C80" i="4"/>
  <c r="C74" i="1"/>
  <c r="H83" i="1"/>
  <c r="D72" i="4"/>
  <c r="I81" i="4"/>
  <c r="D81" i="4"/>
  <c r="O100" i="4"/>
  <c r="D100" i="4"/>
  <c r="G102" i="4"/>
  <c r="I102" i="4"/>
  <c r="K102" i="4"/>
  <c r="C72" i="4"/>
  <c r="H81" i="4"/>
  <c r="C81" i="4"/>
  <c r="N100" i="4"/>
  <c r="C73" i="4"/>
  <c r="H82" i="4"/>
  <c r="C82" i="4"/>
  <c r="N101" i="4"/>
  <c r="C75" i="1"/>
  <c r="H84" i="1"/>
  <c r="D74" i="1"/>
  <c r="I83" i="1"/>
  <c r="D83" i="1"/>
  <c r="D75" i="1"/>
  <c r="I84" i="1"/>
  <c r="D84" i="1"/>
  <c r="G103" i="4"/>
  <c r="I103" i="4"/>
  <c r="K103" i="4"/>
  <c r="D73" i="4"/>
  <c r="I82" i="4"/>
  <c r="D82" i="4"/>
  <c r="O101" i="4"/>
  <c r="O99" i="4"/>
  <c r="D71" i="4"/>
  <c r="I80" i="4"/>
  <c r="D80" i="4"/>
  <c r="B115" i="4"/>
  <c r="C72" i="1"/>
  <c r="H81" i="1"/>
  <c r="D73" i="1"/>
  <c r="I82" i="1"/>
  <c r="C76" i="1"/>
  <c r="H85" i="1"/>
  <c r="D76" i="1"/>
  <c r="I85" i="1"/>
  <c r="D85" i="1"/>
  <c r="P102" i="4"/>
  <c r="F102" i="4"/>
  <c r="H102" i="4"/>
  <c r="J102" i="4"/>
  <c r="C102" i="4"/>
  <c r="B109" i="4"/>
  <c r="C73" i="1"/>
  <c r="H82" i="1"/>
  <c r="B45" i="1"/>
  <c r="B44" i="1"/>
  <c r="B43" i="1"/>
  <c r="B41" i="1"/>
  <c r="B40" i="1"/>
  <c r="B42" i="1"/>
  <c r="C71" i="1"/>
  <c r="H80" i="1"/>
  <c r="Q101" i="1"/>
  <c r="P102" i="1"/>
  <c r="Q102" i="1"/>
  <c r="G102" i="1"/>
  <c r="I102" i="1"/>
  <c r="K102" i="1"/>
  <c r="P99" i="4"/>
  <c r="F99" i="4"/>
  <c r="H99" i="4"/>
  <c r="J99" i="4"/>
  <c r="C99" i="4"/>
  <c r="F100" i="4"/>
  <c r="H100" i="4"/>
  <c r="J100" i="4"/>
  <c r="C100" i="4"/>
  <c r="F101" i="4"/>
  <c r="H101" i="4"/>
  <c r="J101" i="4"/>
  <c r="C101" i="4"/>
  <c r="B108" i="4"/>
  <c r="P103" i="1"/>
  <c r="Q100" i="4"/>
  <c r="G100" i="4"/>
  <c r="I100" i="4"/>
  <c r="K100" i="4"/>
  <c r="P100" i="1"/>
  <c r="P101" i="1"/>
  <c r="Q103" i="1"/>
  <c r="G103" i="1"/>
  <c r="I103" i="1"/>
  <c r="K103" i="1"/>
  <c r="Q100" i="1"/>
  <c r="G100" i="1"/>
  <c r="I100" i="1"/>
  <c r="K100" i="1"/>
  <c r="P104" i="1"/>
  <c r="P101" i="4"/>
  <c r="Q99" i="4"/>
  <c r="G99" i="4"/>
  <c r="I99" i="4"/>
  <c r="K99" i="4"/>
  <c r="D99" i="4"/>
  <c r="Q101" i="4"/>
  <c r="G101" i="4"/>
  <c r="I101" i="4"/>
  <c r="K101" i="4"/>
  <c r="D101" i="4"/>
  <c r="P99" i="1"/>
  <c r="Q104" i="1"/>
  <c r="G104" i="1"/>
  <c r="I104" i="1"/>
  <c r="K104" i="1"/>
  <c r="P100" i="4"/>
  <c r="Q99" i="1"/>
  <c r="C108" i="4"/>
  <c r="B112" i="4"/>
  <c r="B118" i="4"/>
  <c r="B124" i="4"/>
  <c r="B118" i="1"/>
  <c r="B124" i="1"/>
  <c r="B11" i="3"/>
  <c r="L11" i="3"/>
  <c r="I11" i="3"/>
  <c r="B12" i="3"/>
  <c r="B10" i="3"/>
  <c r="B13" i="3"/>
  <c r="H11" i="3"/>
  <c r="M11" i="3"/>
  <c r="H12" i="3"/>
  <c r="L12" i="3"/>
  <c r="I12" i="3"/>
  <c r="L13" i="3"/>
  <c r="I13" i="3"/>
  <c r="I10" i="3"/>
  <c r="M10" i="3"/>
  <c r="K10" i="3"/>
  <c r="H13" i="3"/>
  <c r="M13" i="3"/>
  <c r="M12" i="3"/>
</calcChain>
</file>

<file path=xl/sharedStrings.xml><?xml version="1.0" encoding="utf-8"?>
<sst xmlns="http://schemas.openxmlformats.org/spreadsheetml/2006/main" count="1316" uniqueCount="225">
  <si>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</si>
  <si>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</si>
  <si>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</si>
  <si>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</si>
  <si>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</si>
  <si>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</si>
  <si>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</si>
  <si>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</si>
  <si>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</si>
  <si>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</si>
  <si>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</si>
  <si>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</si>
  <si>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</si>
  <si>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</si>
  <si>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</si>
  <si>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</si>
  <si>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</si>
  <si>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</si>
  <si>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</si>
  <si>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</si>
  <si>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</si>
  <si>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</si>
  <si>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</si>
  <si>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</si>
  <si>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</si>
  <si>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</si>
  <si>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</si>
  <si>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</si>
  <si>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</si>
  <si>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</si>
  <si>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</si>
  <si>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</si>
  <si>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</si>
  <si>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</si>
  <si>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</si>
  <si>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</si>
  <si>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</si>
  <si>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</si>
  <si>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</si>
  <si>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</si>
  <si>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</si>
  <si>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</si>
  <si>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</si>
  <si>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</si>
  <si>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</si>
  <si>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</si>
  <si>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</si>
  <si>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</si>
  <si>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</si>
  <si>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</si>
  <si>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</si>
  <si>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</si>
  <si>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</si>
  <si>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</si>
  <si>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</si>
  <si>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</si>
  <si>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</si>
  <si>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</si>
  <si>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</si>
  <si>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</si>
  <si>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</si>
  <si>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</si>
  <si>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</si>
  <si>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</si>
  <si>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</si>
  <si>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</si>
  <si>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</si>
  <si>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</si>
  <si>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</si>
  <si>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</si>
  <si>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</si>
  <si>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</si>
  <si>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</si>
  <si>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</si>
  <si>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</si>
  <si>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</si>
  <si>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</si>
  <si>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</si>
  <si>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</si>
  <si>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</si>
  <si>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</si>
  <si>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</si>
  <si>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</si>
  <si>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</si>
  <si>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</si>
  <si>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</si>
  <si>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</si>
  <si>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</si>
  <si>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</si>
  <si>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</si>
  <si>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</si>
  <si>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</si>
  <si>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</si>
  <si>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</si>
  <si>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</si>
  <si>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</si>
  <si>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</si>
  <si>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</si>
  <si>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</si>
  <si>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</si>
  <si>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</si>
  <si>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</si>
  <si>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</si>
  <si>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</si>
  <si>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</si>
  <si>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</si>
  <si>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</si>
  <si>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</si>
  <si>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</si>
  <si>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</si>
  <si>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</si>
  <si>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</si>
  <si>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</si>
  <si>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</si>
  <si>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</si>
  <si>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</si>
  <si>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</si>
  <si>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</si>
  <si>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</si>
  <si>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</si>
  <si>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</si>
  <si>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</si>
  <si>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</si>
  <si>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</si>
  <si>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</si>
  <si>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</si>
  <si>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</si>
  <si>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</si>
  <si>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</si>
  <si>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</si>
  <si>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</si>
  <si>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</si>
  <si>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</si>
  <si>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</si>
  <si>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</si>
  <si>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</si>
  <si>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</si>
  <si>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</si>
  <si>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</si>
  <si>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</si>
  <si>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</si>
  <si>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</si>
  <si>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</si>
  <si>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</si>
  <si>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</si>
  <si>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</si>
  <si>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</si>
  <si>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</si>
  <si>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</si>
  <si>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</si>
  <si>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</si>
  <si>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</si>
  <si>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</si>
  <si>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</si>
  <si>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</si>
  <si>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</si>
  <si>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</si>
  <si>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</si>
  <si>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</si>
  <si>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</si>
  <si>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</si>
  <si>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</si>
  <si>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</si>
  <si>
    <t>* must be &lt; 2.0, otherwise exhibits one way behavior</t>
  </si>
  <si>
    <t>*single layer of reinforcement</t>
  </si>
  <si>
    <t>*lightweight concrete factor, ACI 318-14, 19.2.4.2</t>
  </si>
  <si>
    <t>* reduced modulus of rupture, per CRSI Design Guide p4-6</t>
  </si>
  <si>
    <t>References:</t>
  </si>
  <si>
    <t>CRSI Design Guide for Vibration of Reinforced Concrete Floor Systems, First Edition</t>
  </si>
  <si>
    <t>ACI 318-14 Building Code Requirements for Structural Concrete</t>
  </si>
  <si>
    <t>AISC Steel Design Guide 11: Vibration of Steel-Framed Structural Systems Due to Human Activity</t>
  </si>
  <si>
    <t>Velocity</t>
  </si>
  <si>
    <t>-</t>
  </si>
  <si>
    <t>SSM Estimation (may be unconservative… ):</t>
  </si>
  <si>
    <t>User input (rho):</t>
  </si>
  <si>
    <t>User input (As from rho):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</si>
  <si>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</si>
  <si>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</si>
  <si>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</si>
  <si>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</si>
  <si>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</si>
  <si>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</si>
  <si>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</si>
  <si>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</si>
  <si>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</si>
  <si>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</si>
  <si>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cw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</si>
  <si>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</si>
  <si>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</si>
  <si>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</si>
  <si>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lb 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/ft</t>
    </r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</si>
  <si>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</si>
  <si>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</si>
  <si>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</si>
  <si>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</si>
  <si>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</si>
  <si>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</si>
  <si>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</si>
  <si>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</si>
  <si>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</si>
  <si>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</si>
  <si>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01,LL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</si>
  <si>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</si>
  <si>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02,LL</t>
    </r>
    <r>
      <rPr>
        <sz val="11"/>
        <color theme="1"/>
        <rFont val="Calibri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</si>
  <si>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</si>
  <si>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</si>
  <si>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Calculate avg strip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</si>
  <si>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</si>
  <si>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</si>
  <si>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I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</si>
  <si>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gp</t>
    </r>
    <r>
      <rPr>
        <sz val="11"/>
        <color theme="1"/>
        <rFont val="Calibri"/>
        <family val="2"/>
        <scheme val="minor"/>
      </rPr>
      <t xml:space="preserve"> =</t>
    </r>
  </si>
  <si>
    <r>
      <t>Calculate 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</si>
  <si>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</si>
  <si>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</si>
  <si>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</si>
  <si>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Interp</t>
    </r>
    <r>
      <rPr>
        <b/>
        <sz val="11"/>
        <color theme="1"/>
        <rFont val="Symbol"/>
        <family val="1"/>
        <charset val="2"/>
      </rPr>
      <t xml:space="preserve"> 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</si>
  <si>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</si>
  <si>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Drop panel:</t>
  </si>
  <si>
    <r>
      <t>h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</si>
  <si>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extent</t>
    </r>
    <r>
      <rPr>
        <sz val="11"/>
        <color theme="1"/>
        <rFont val="Calibri"/>
        <family val="2"/>
        <scheme val="minor"/>
      </rPr>
      <t xml:space="preserve"> = </t>
    </r>
  </si>
  <si>
    <t>% of span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</si>
  <si>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equiv 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</si>
  <si>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</si>
  <si>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t,drop</t>
    </r>
    <r>
      <rPr>
        <sz val="11"/>
        <color theme="1"/>
        <rFont val="Calibri"/>
        <family val="2"/>
        <scheme val="minor"/>
      </rPr>
      <t xml:space="preserve"> =</t>
    </r>
  </si>
  <si>
    <t>Calculate avg strip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</si>
</sst>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1" xfId="1"/>
    <xf numFmtId="165" fontId="1" fillId="2" borderId="1" xfId="1" applyNumberFormat="1"/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18" zoomScale="85" zoomScaleNormal="85" zoomScalePageLayoutView="85" workbookViewId="0">
      <selection activeCell="B128" activeCellId="2" sqref="B124 B127 B128"/>
    </sheetView>
  </sheetViews>
  <sheetFormatPr defaultColWidth="8.85546875" defaultRowHeight="15"/>
  <cols>
    <col min="1" max="1" width="14" style="8" customWidth="1"/>
    <col min="4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42578125" style="8" bestFit="1" customWidth="1"/>
  </cols>
  <sheetData>
    <row r="1" spans="1:19">
      <c r="I1" s="8" t="s">
        <v>167</v>
      </c>
    </row>
    <row r="2" spans="1:19">
      <c r="A2" s="52" t="s">
        <v>0</v>
      </c>
      <c r="D2" s="56" t="s">
        <v>1</v>
      </c>
    </row>
    <row r="3" spans="1:19" ht="18" customHeight="1">
      <c r="A3" s="3" t="s">
        <v>176</v>
      </c>
      <c r="B3" s="2">
        <v>34</v>
      </c>
      <c r="C3" t="s">
        <v>3</v>
      </c>
      <c r="D3" s="9" t="s">
        <v>144</v>
      </c>
      <c r="E3" t="s">
        <v>5</v>
      </c>
      <c r="I3" s="8" t="s">
        <v>168</v>
      </c>
    </row>
    <row r="4" spans="1:19" ht="18" customHeight="1">
      <c r="A4" s="3" t="s">
        <v>177</v>
      </c>
      <c r="B4" s="2">
        <v>34</v>
      </c>
      <c r="C4" t="s">
        <v>3</v>
      </c>
      <c r="D4" s="9" t="s">
        <v>4</v>
      </c>
      <c r="I4" s="8" t="s">
        <v>169</v>
      </c>
    </row>
    <row r="5" spans="1:19" ht="18" customHeight="1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>
      <c r="A6" s="3" t="s">
        <v>179</v>
      </c>
      <c r="B6" s="2">
        <v>28</v>
      </c>
      <c r="C6" t="s">
        <v>10</v>
      </c>
    </row>
    <row r="7" spans="1:19" ht="18" customHeight="1">
      <c r="A7" s="3" t="s">
        <v>180</v>
      </c>
      <c r="B7" s="2">
        <v>28</v>
      </c>
      <c r="C7" t="s">
        <v>10</v>
      </c>
    </row>
    <row r="8" spans="1:19">
      <c r="A8" s="3" t="s">
        <v>12</v>
      </c>
      <c r="B8" s="2">
        <v>0.2</v>
      </c>
    </row>
    <row r="9" spans="1:19" ht="18" customHeight="1">
      <c r="A9" s="3" t="s">
        <v>181</v>
      </c>
      <c r="B9" s="2">
        <v>5000</v>
      </c>
      <c r="C9" t="s">
        <v>14</v>
      </c>
    </row>
    <row r="10" spans="1:19" ht="18" customHeight="1">
      <c r="A10" s="3" t="s">
        <v>182</v>
      </c>
      <c r="B10" s="2">
        <v>60000</v>
      </c>
      <c r="C10" t="s">
        <v>14</v>
      </c>
    </row>
    <row r="11" spans="1:19" ht="18" customHeight="1">
      <c r="A11" s="3" t="s">
        <v>183</v>
      </c>
      <c r="B11">
        <f>IF(AND(B14&gt;90,B14&lt;=160),B14^1.5*33*SQRT(B9))*1.2</f>
        <v>5144190.8984795641</v>
      </c>
      <c r="C11" t="s">
        <v>14</v>
      </c>
      <c r="D11" t="s">
        <v>17</v>
      </c>
    </row>
    <row r="12" spans="1:19" ht="18">
      <c r="A12" s="3" t="s">
        <v>18</v>
      </c>
      <c r="B12" s="8">
        <v>14</v>
      </c>
      <c r="C12" s="8" t="s">
        <v>10</v>
      </c>
      <c r="D12" s="61"/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14</v>
      </c>
      <c r="L12" s="8" t="s">
        <v>10</v>
      </c>
      <c r="M12" s="3" t="s">
        <v>219</v>
      </c>
      <c r="N12" s="61">
        <v>0.33</v>
      </c>
      <c r="O12" s="8" t="s">
        <v>220</v>
      </c>
      <c r="P12" s="8"/>
      <c r="Q12" s="8" t="s">
        <v>221</v>
      </c>
      <c r="R12" s="8">
        <f>N12*K12+H12*(1-N12)</f>
        <v>14</v>
      </c>
      <c r="S12" s="8" t="s">
        <v>10</v>
      </c>
    </row>
    <row r="13" spans="1:19">
      <c r="A13" s="3" t="s">
        <v>19</v>
      </c>
      <c r="B13" s="2">
        <f>h-1.25</f>
        <v>12.75</v>
      </c>
      <c r="C13" t="s">
        <v>10</v>
      </c>
      <c r="D13" s="8" t="s">
        <v>164</v>
      </c>
    </row>
    <row r="14" spans="1:19" ht="18" customHeight="1">
      <c r="A14" s="3" t="s">
        <v>184</v>
      </c>
      <c r="B14" s="2">
        <v>150</v>
      </c>
      <c r="C14" t="s">
        <v>21</v>
      </c>
    </row>
    <row r="15" spans="1:19" ht="18" customHeight="1">
      <c r="A15" s="3" t="s">
        <v>185</v>
      </c>
      <c r="B15">
        <f>h/2</f>
        <v>7</v>
      </c>
      <c r="C15" t="s">
        <v>10</v>
      </c>
    </row>
    <row r="16" spans="1:19">
      <c r="A16" s="3" t="s">
        <v>23</v>
      </c>
      <c r="B16" s="5">
        <f>29000000/E_c</f>
        <v>5.6374268708751352</v>
      </c>
    </row>
    <row r="17" spans="1:5" ht="18" customHeight="1">
      <c r="A17" s="11" t="s">
        <v>186</v>
      </c>
      <c r="B17" s="4">
        <f>IF(AND(w_c&lt;150, w_c&gt;140), 0.85,IF(w_c=150, 1, "ERROR"))</f>
        <v>1</v>
      </c>
      <c r="D17" s="8" t="s">
        <v>165</v>
      </c>
    </row>
    <row r="18" spans="1:5" ht="18" customHeight="1">
      <c r="A18" s="3" t="s">
        <v>187</v>
      </c>
      <c r="B18" s="5">
        <f>4.5*lambda_w*SQRT(f_c)</f>
        <v>318.1980515339464</v>
      </c>
      <c r="C18" t="s">
        <v>14</v>
      </c>
      <c r="D18" s="8" t="s">
        <v>166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188</v>
      </c>
      <c r="B22" s="56">
        <f>MIN(0.25*l_1, 0.25*l_2)*2</f>
        <v>17</v>
      </c>
      <c r="C22" s="56">
        <f>l_2-B22</f>
        <v>17</v>
      </c>
      <c r="D22" t="s">
        <v>3</v>
      </c>
      <c r="E22" t="s">
        <v>31</v>
      </c>
    </row>
    <row r="23" spans="1:5" ht="18" customHeight="1">
      <c r="A23" s="3" t="s">
        <v>189</v>
      </c>
      <c r="B23" s="56">
        <f>MIN(0.25*l_1, 0.25*l_2)*2</f>
        <v>17</v>
      </c>
      <c r="C23" s="56">
        <f>l_1-B23</f>
        <v>17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0</v>
      </c>
      <c r="C26" t="s">
        <v>35</v>
      </c>
    </row>
    <row r="27" spans="1:5">
      <c r="A27" s="3" t="s">
        <v>36</v>
      </c>
      <c r="B27" s="2">
        <v>80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175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6677.5155279503097</v>
      </c>
      <c r="C30" t="s">
        <v>190</v>
      </c>
    </row>
    <row r="31" spans="1:5">
      <c r="A31" s="3" t="s">
        <v>41</v>
      </c>
      <c r="B31" s="6">
        <f>mass * 32.2/1000</f>
        <v>215.01599999999999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191</v>
      </c>
      <c r="B36" s="6">
        <f>1.2*(SDL+SW) +1.6*LL</f>
        <v>338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192</v>
      </c>
      <c r="B37" s="6">
        <f>(q_u*l_2*(l_1-c_1 / 12)^2 / 8) / 1000</f>
        <v>1440.4902777777777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193</v>
      </c>
      <c r="B38" s="6">
        <f>(q_u*l_1*(l_2 - c_2 / 12) ^2 / 8) / 1000</f>
        <v>1440.4902777777777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ht="18">
      <c r="A40" s="3" t="s">
        <v>194</v>
      </c>
      <c r="B40" s="6">
        <f>IF($D$3="interior", F37*B37,  IF($D$3="exterior", J37*B37, "ERROR"))</f>
        <v>749.05494444444446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ht="18">
      <c r="A41" s="3" t="s">
        <v>195</v>
      </c>
      <c r="B41" s="6">
        <f>IF($D$3="interior", F38*B37,  IF($D$3="exterior", J38*B37, "ERROR"))</f>
        <v>374.52747222222223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ht="18">
      <c r="A42" s="3" t="s">
        <v>196</v>
      </c>
      <c r="B42" s="6">
        <f>IF($D$3="interior", F39*B37,  IF($D$3="exterior", J39*B37, "ERROR"))</f>
        <v>1008.3431944444443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8">
      <c r="A43" s="3" t="s">
        <v>197</v>
      </c>
      <c r="B43" s="6">
        <f>IF($D$4="interior", F37*B38,  IF($D$4="exterior", J37*B38, "ERROR"))</f>
        <v>504.17159722222215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8">
      <c r="A44" s="3" t="s">
        <v>198</v>
      </c>
      <c r="B44" s="6">
        <f>IF($D$4="interior", F38*B38,  IF($D$4="exterior", J38*B38, "ERROR"))</f>
        <v>936.31868055555549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8">
      <c r="A45" s="3" t="s">
        <v>199</v>
      </c>
      <c r="B45" s="6">
        <f>IF($D$4="interior", F39*B38,  IF($D$4="exterior", J39*B38, "ERROR"))</f>
        <v>936.31868055555549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200</v>
      </c>
      <c r="B48" s="7">
        <f>((SW+SDL)*l_2*(l_1-c_1 / 12) ^ 2 / 8) / 1000</f>
        <v>745.81597222222229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201</v>
      </c>
      <c r="B49" s="7">
        <f>((LL)*l_2*(l_1-c_1 / 12) ^ 2 / 8) / 1000</f>
        <v>340.94444444444446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202</v>
      </c>
      <c r="B50" s="7">
        <f>((SW+SDL)*l_1*(l_2-c_2 / 12) ^ 2 / 8) / 1000</f>
        <v>745.81597222222229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203</v>
      </c>
      <c r="B51" s="7">
        <f>((LL)*l_1*(l_2-c_2 / 12) ^ 2 / 8) / 1000</f>
        <v>340.94444444444446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188</v>
      </c>
      <c r="B55" s="56" t="s">
        <v>74</v>
      </c>
      <c r="C55" s="56" t="s">
        <v>75</v>
      </c>
      <c r="D55" s="7">
        <f>IF($D$3="interior", F37*G37*B48,  IF($D$3="exterior", J37*K37*B48, "ERROR"))</f>
        <v>232.69458333333336</v>
      </c>
      <c r="E55" s="7">
        <f>IF($D$3="interior", H37*I37*B48,  IF($D$3="exterior", L37*M37*B48, "ERROR"))</f>
        <v>155.12972222222226</v>
      </c>
      <c r="F55" s="1" t="s">
        <v>53</v>
      </c>
    </row>
    <row r="56" spans="1:13" ht="18" customHeight="1">
      <c r="A56" s="56" t="s">
        <v>188</v>
      </c>
      <c r="B56" s="56" t="s">
        <v>74</v>
      </c>
      <c r="C56" s="56" t="s">
        <v>76</v>
      </c>
      <c r="D56" s="7">
        <f>IF($D$3="interior", F38*G38*B48,  IF($D$3="exterior", J38*K38*B48, "ERROR"))</f>
        <v>193.91215277777781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188</v>
      </c>
      <c r="B57" s="56" t="s">
        <v>74</v>
      </c>
      <c r="C57" s="56" t="s">
        <v>77</v>
      </c>
      <c r="D57" s="7">
        <f>IF($D$3="interior", F39*G39*B48,  IF($D$3="exterior", J39*K39*B48, "ERROR"))</f>
        <v>391.55338541666663</v>
      </c>
      <c r="E57" s="7">
        <f>IF($D$3="interior", H39*I39*B48,  IF($D$3="exterior", L39*M39*B48, "ERROR"))</f>
        <v>130.51779513888889</v>
      </c>
      <c r="F57" s="1" t="s">
        <v>53</v>
      </c>
    </row>
    <row r="58" spans="1:13" ht="18" customHeight="1">
      <c r="A58" s="56" t="s">
        <v>188</v>
      </c>
      <c r="B58" s="56" t="s">
        <v>78</v>
      </c>
      <c r="C58" s="56" t="s">
        <v>75</v>
      </c>
      <c r="D58" s="7">
        <f>IF($D$3="interior", F37*G37*B49,  IF($D$3="exterior", J37*K37*B49, "ERROR"))</f>
        <v>106.37466666666667</v>
      </c>
      <c r="E58" s="7">
        <f>IF($D$3="interior", H37*I37*B49,  IF($D$3="exterior", L37*M37*B49, "ERROR"))</f>
        <v>70.916444444444451</v>
      </c>
      <c r="F58" s="1" t="s">
        <v>53</v>
      </c>
    </row>
    <row r="59" spans="1:13" ht="18" customHeight="1">
      <c r="A59" s="56" t="s">
        <v>188</v>
      </c>
      <c r="B59" s="56" t="s">
        <v>78</v>
      </c>
      <c r="C59" s="56" t="s">
        <v>76</v>
      </c>
      <c r="D59" s="7">
        <f>IF($D$3="interior", F38*G38*B49,  IF($D$3="exterior", J38*K38*B49, "ERROR"))</f>
        <v>88.645555555555561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188</v>
      </c>
      <c r="B60" s="56" t="s">
        <v>78</v>
      </c>
      <c r="C60" s="56" t="s">
        <v>77</v>
      </c>
      <c r="D60" s="7">
        <f>IF($D$3="interior", F39*G39*B49,  IF($D$3="exterior", J39*K39*B49, "ERROR"))</f>
        <v>178.99583333333331</v>
      </c>
      <c r="E60" s="7">
        <f>IF($D$3="interior", H39*I39*B49,  IF($D$3="exterior", L39*M39*B49, "ERROR"))</f>
        <v>59.665277777777774</v>
      </c>
      <c r="F60" s="1" t="s">
        <v>53</v>
      </c>
    </row>
    <row r="61" spans="1:13" ht="18" customHeight="1">
      <c r="A61" s="56" t="s">
        <v>189</v>
      </c>
      <c r="B61" s="56" t="s">
        <v>74</v>
      </c>
      <c r="C61" s="56" t="s">
        <v>75</v>
      </c>
      <c r="D61" s="7">
        <f>IF($D$4="interior", F37*G37*B50,  IF($D$4="exterior", J37*K37*B50, "ERROR"))</f>
        <v>156.62135416666666</v>
      </c>
      <c r="E61" s="7">
        <f>IF($D$4="interior", H37*I37*B50,  IF($D$4="exterior", L37*M37*B50, "ERROR"))</f>
        <v>104.41423611111111</v>
      </c>
      <c r="F61" s="1" t="s">
        <v>53</v>
      </c>
    </row>
    <row r="62" spans="1:13" ht="18" customHeight="1">
      <c r="A62" s="56" t="s">
        <v>189</v>
      </c>
      <c r="B62" s="56" t="s">
        <v>74</v>
      </c>
      <c r="C62" s="56" t="s">
        <v>76</v>
      </c>
      <c r="D62" s="7">
        <f>IF($D$4="interior", F38*G38*B50,  IF($D$4="exterior", J38*K38*B50, "ERROR"))</f>
        <v>363.58528645833337</v>
      </c>
      <c r="E62" s="7">
        <f>IF($D$4="interior", H38*I38*B50,  IF($D$4="exterior", L38*M38*B50, "ERROR"))</f>
        <v>121.19509548611113</v>
      </c>
      <c r="F62" s="1" t="s">
        <v>53</v>
      </c>
    </row>
    <row r="63" spans="1:13" ht="18" customHeight="1">
      <c r="A63" s="56" t="s">
        <v>189</v>
      </c>
      <c r="B63" s="56" t="s">
        <v>74</v>
      </c>
      <c r="C63" s="56" t="s">
        <v>77</v>
      </c>
      <c r="D63" s="7">
        <f>IF($D$4="interior", F39*G39*B50,  IF($D$4="exterior", J39*K39*B50, "ERROR"))</f>
        <v>363.58528645833337</v>
      </c>
      <c r="E63" s="7">
        <f>IF($D$4="interior", H39*I39*B50,  IF($D$4="exterior", L39*M39*B50, "ERROR"))</f>
        <v>121.19509548611113</v>
      </c>
      <c r="F63" s="1" t="s">
        <v>53</v>
      </c>
    </row>
    <row r="64" spans="1:13" ht="18" customHeight="1">
      <c r="A64" s="56" t="s">
        <v>189</v>
      </c>
      <c r="B64" s="56" t="s">
        <v>78</v>
      </c>
      <c r="C64" s="56" t="s">
        <v>75</v>
      </c>
      <c r="D64" s="7">
        <f>IF($D$4="interior", F37*G37*B51,  IF($D$4="exterior", J37*K37*B51, "ERROR"))</f>
        <v>71.598333333333329</v>
      </c>
      <c r="E64" s="7">
        <f>IF($D$4="interior", H37*I37*B51,  IF($D$4="exterior", L37*M37*B51, "ERROR"))</f>
        <v>47.732222222222219</v>
      </c>
      <c r="F64" s="1" t="s">
        <v>53</v>
      </c>
    </row>
    <row r="65" spans="1:19" ht="18" customHeight="1">
      <c r="A65" s="56" t="s">
        <v>189</v>
      </c>
      <c r="B65" s="56" t="s">
        <v>78</v>
      </c>
      <c r="C65" s="56" t="s">
        <v>76</v>
      </c>
      <c r="D65" s="7">
        <f>IF($D$4="interior", F38*G38*B51,  IF($D$4="exterior", J38*K38*B51, "ERROR"))</f>
        <v>166.21041666666667</v>
      </c>
      <c r="E65" s="7">
        <f>IF($D$4="interior", H38*I38*B51,  IF($D$4="exterior", L38*M38*B51, "ERROR"))</f>
        <v>55.403472222222227</v>
      </c>
      <c r="F65" s="1" t="s">
        <v>53</v>
      </c>
    </row>
    <row r="66" spans="1:19" ht="18" customHeight="1">
      <c r="A66" s="56" t="s">
        <v>189</v>
      </c>
      <c r="B66" s="56" t="s">
        <v>78</v>
      </c>
      <c r="C66" s="56" t="s">
        <v>77</v>
      </c>
      <c r="D66" s="7">
        <f>IF($D$4="interior", F39*G39*B51,  IF($D$4="exterior", J39*K39*B51, "ERROR"))</f>
        <v>166.21041666666667</v>
      </c>
      <c r="E66" s="7">
        <f>IF($D$4="interior", H39*I39*B51,  IF($D$4="exterior", L39*M39*B51, "ERROR"))</f>
        <v>55.403472222222227</v>
      </c>
      <c r="F66" s="1" t="s">
        <v>53</v>
      </c>
    </row>
    <row r="69" spans="1:19" ht="18" customHeight="1">
      <c r="A69" s="52" t="s">
        <v>79</v>
      </c>
    </row>
    <row r="70" spans="1:19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9" ht="18" customHeight="1">
      <c r="A71" s="56" t="s">
        <v>188</v>
      </c>
      <c r="B71" s="56" t="s">
        <v>75</v>
      </c>
      <c r="C71" s="7">
        <f t="shared" ref="C71:D73" si="0">1.2*D55+1.6*D58</f>
        <v>449.43296666666669</v>
      </c>
      <c r="D71" s="7">
        <f t="shared" si="0"/>
        <v>299.62197777777783</v>
      </c>
      <c r="E71" t="s">
        <v>53</v>
      </c>
    </row>
    <row r="72" spans="1:19" ht="18" customHeight="1">
      <c r="A72" s="56" t="s">
        <v>188</v>
      </c>
      <c r="B72" s="56" t="s">
        <v>76</v>
      </c>
      <c r="C72" s="7">
        <f t="shared" si="0"/>
        <v>374.52747222222229</v>
      </c>
      <c r="D72" s="7">
        <f t="shared" si="0"/>
        <v>0</v>
      </c>
      <c r="E72" t="s">
        <v>53</v>
      </c>
    </row>
    <row r="73" spans="1:19" ht="18" customHeight="1">
      <c r="A73" s="56" t="s">
        <v>188</v>
      </c>
      <c r="B73" s="56" t="s">
        <v>77</v>
      </c>
      <c r="C73" s="7">
        <f t="shared" si="0"/>
        <v>756.25739583333325</v>
      </c>
      <c r="D73" s="7">
        <f t="shared" si="0"/>
        <v>252.0857986111111</v>
      </c>
      <c r="E73" t="s">
        <v>53</v>
      </c>
    </row>
    <row r="74" spans="1:19" ht="18" customHeight="1">
      <c r="A74" s="56" t="s">
        <v>189</v>
      </c>
      <c r="B74" s="56" t="s">
        <v>75</v>
      </c>
      <c r="C74" s="7">
        <f t="shared" ref="C74:D76" si="1">1.2*D61+1.6*D64</f>
        <v>302.50295833333331</v>
      </c>
      <c r="D74" s="7">
        <f t="shared" si="1"/>
        <v>201.66863888888889</v>
      </c>
      <c r="E74" t="s">
        <v>53</v>
      </c>
    </row>
    <row r="75" spans="1:19" ht="18" customHeight="1">
      <c r="A75" s="56" t="s">
        <v>189</v>
      </c>
      <c r="B75" s="56" t="s">
        <v>76</v>
      </c>
      <c r="C75" s="7">
        <f t="shared" si="1"/>
        <v>702.2390104166667</v>
      </c>
      <c r="D75" s="7">
        <f t="shared" si="1"/>
        <v>234.07967013888893</v>
      </c>
      <c r="E75" t="s">
        <v>53</v>
      </c>
    </row>
    <row r="76" spans="1:19" ht="18" customHeight="1">
      <c r="A76" s="56" t="s">
        <v>189</v>
      </c>
      <c r="B76" s="56" t="s">
        <v>77</v>
      </c>
      <c r="C76" s="7">
        <f t="shared" si="1"/>
        <v>702.2390104166667</v>
      </c>
      <c r="D76" s="7">
        <f t="shared" si="1"/>
        <v>234.07967013888893</v>
      </c>
      <c r="E76" t="s">
        <v>53</v>
      </c>
    </row>
    <row r="78" spans="1:19" ht="18" customHeight="1">
      <c r="A78" s="21" t="s">
        <v>80</v>
      </c>
      <c r="F78" t="s">
        <v>173</v>
      </c>
      <c r="M78" t="s">
        <v>175</v>
      </c>
      <c r="N78" s="8"/>
      <c r="O78" s="8"/>
      <c r="R78" t="s">
        <v>174</v>
      </c>
    </row>
    <row r="79" spans="1:19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27</v>
      </c>
      <c r="L79" s="56" t="s">
        <v>73</v>
      </c>
      <c r="M79" s="56" t="s">
        <v>28</v>
      </c>
      <c r="N79" s="56" t="s">
        <v>29</v>
      </c>
      <c r="O79" s="8"/>
      <c r="P79" s="56" t="s">
        <v>27</v>
      </c>
      <c r="Q79" s="56" t="s">
        <v>73</v>
      </c>
      <c r="R79" s="56" t="s">
        <v>28</v>
      </c>
      <c r="S79" s="56" t="s">
        <v>29</v>
      </c>
    </row>
    <row r="80" spans="1:19" ht="18.75" customHeight="1">
      <c r="A80" s="56" t="s">
        <v>188</v>
      </c>
      <c r="B80" s="56" t="s">
        <v>75</v>
      </c>
      <c r="C80" s="10">
        <f t="shared" ref="C80:D85" si="2">IF(ISBLANK(M80),H80,M80)</f>
        <v>7.2827999999999991</v>
      </c>
      <c r="D80" s="10">
        <f t="shared" si="2"/>
        <v>5.202</v>
      </c>
      <c r="E80" t="s">
        <v>204</v>
      </c>
      <c r="F80" s="56" t="s">
        <v>188</v>
      </c>
      <c r="G80" s="56" t="s">
        <v>75</v>
      </c>
      <c r="H80" s="10">
        <f>MAX(C71*12000/d*0.85/54000, 0.0025*l_1c*12*d)</f>
        <v>6.6582661728395065</v>
      </c>
      <c r="I80" s="10">
        <f>MAX(D71*12000/d*0.85/54000, 0.0025*l_1m*12*d)</f>
        <v>6.5025000000000004</v>
      </c>
      <c r="J80" s="8" t="s">
        <v>204</v>
      </c>
      <c r="K80" s="56" t="s">
        <v>188</v>
      </c>
      <c r="L80" s="56" t="s">
        <v>75</v>
      </c>
      <c r="M80" s="56">
        <f>R80*l_1c*12*d</f>
        <v>7.2827999999999991</v>
      </c>
      <c r="N80" s="56">
        <f>S80*l_1m*12*d</f>
        <v>5.202</v>
      </c>
      <c r="O80" s="8"/>
      <c r="P80" s="56" t="s">
        <v>188</v>
      </c>
      <c r="Q80" s="56" t="s">
        <v>75</v>
      </c>
      <c r="R80" s="61">
        <v>2.8E-3</v>
      </c>
      <c r="S80" s="61">
        <v>2E-3</v>
      </c>
    </row>
    <row r="81" spans="1:19" ht="18.75" customHeight="1">
      <c r="A81" s="56" t="s">
        <v>188</v>
      </c>
      <c r="B81" s="56" t="s">
        <v>76</v>
      </c>
      <c r="C81" s="10">
        <f t="shared" si="2"/>
        <v>5.9822999999999995</v>
      </c>
      <c r="D81" s="10">
        <f t="shared" si="2"/>
        <v>5.202</v>
      </c>
      <c r="E81" s="8" t="s">
        <v>204</v>
      </c>
      <c r="F81" s="56" t="s">
        <v>188</v>
      </c>
      <c r="G81" s="56" t="s">
        <v>76</v>
      </c>
      <c r="H81" s="10">
        <f>MAX(C72*12000/d*0.85/54000, 0.0025*l_1c*12*d)</f>
        <v>6.5025000000000004</v>
      </c>
      <c r="I81" s="10">
        <f>MAX(D72*12000/d*0.85/54000, 0.0025*l_1m*12*d)</f>
        <v>6.5025000000000004</v>
      </c>
      <c r="J81" s="8" t="s">
        <v>204</v>
      </c>
      <c r="K81" s="56" t="s">
        <v>188</v>
      </c>
      <c r="L81" s="56" t="s">
        <v>76</v>
      </c>
      <c r="M81" s="56">
        <f>R81*l_1c*12*d</f>
        <v>5.9822999999999995</v>
      </c>
      <c r="N81" s="56">
        <f>S81*l_1m*12*d</f>
        <v>5.202</v>
      </c>
      <c r="O81" s="8"/>
      <c r="P81" s="56" t="s">
        <v>188</v>
      </c>
      <c r="Q81" s="56" t="s">
        <v>76</v>
      </c>
      <c r="R81" s="61">
        <v>2.3E-3</v>
      </c>
      <c r="S81" s="61">
        <v>2E-3</v>
      </c>
    </row>
    <row r="82" spans="1:19" ht="18.75" customHeight="1">
      <c r="A82" s="56" t="s">
        <v>188</v>
      </c>
      <c r="B82" s="56" t="s">
        <v>77</v>
      </c>
      <c r="C82" s="10">
        <f t="shared" si="2"/>
        <v>12.2247</v>
      </c>
      <c r="D82" s="10">
        <f t="shared" si="2"/>
        <v>5.202</v>
      </c>
      <c r="E82" s="8" t="s">
        <v>204</v>
      </c>
      <c r="F82" s="56" t="s">
        <v>188</v>
      </c>
      <c r="G82" s="56" t="s">
        <v>77</v>
      </c>
      <c r="H82" s="10">
        <f>MAX(C73*12000/d*0.85/54000, 0.0025*l_1c*12*d)</f>
        <v>11.203813271604936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77</v>
      </c>
      <c r="M82" s="56">
        <f>R82*l_1c*12*d</f>
        <v>12.2247</v>
      </c>
      <c r="N82" s="56">
        <f>S82*l_1m*12*d</f>
        <v>5.202</v>
      </c>
      <c r="O82" s="8"/>
      <c r="P82" s="56" t="s">
        <v>188</v>
      </c>
      <c r="Q82" s="56" t="s">
        <v>77</v>
      </c>
      <c r="R82" s="61">
        <v>4.7000000000000002E-3</v>
      </c>
      <c r="S82" s="61">
        <v>2E-3</v>
      </c>
    </row>
    <row r="83" spans="1:19" ht="18.75" customHeight="1">
      <c r="A83" s="56" t="s">
        <v>189</v>
      </c>
      <c r="B83" s="56" t="s">
        <v>75</v>
      </c>
      <c r="C83" s="10">
        <f t="shared" si="2"/>
        <v>5.202</v>
      </c>
      <c r="D83" s="10">
        <f t="shared" si="2"/>
        <v>5.202</v>
      </c>
      <c r="E83" s="8" t="s">
        <v>204</v>
      </c>
      <c r="F83" s="56" t="s">
        <v>189</v>
      </c>
      <c r="G83" s="56" t="s">
        <v>75</v>
      </c>
      <c r="H83" s="10">
        <f>MAX(C74*12000/d*0.85/54000, 0.0025*l_2c*12*d)</f>
        <v>6.5025000000000004</v>
      </c>
      <c r="I83" s="10">
        <f>MAX(D74*12000/d*0.85/54000, 0.0025*l_2m*12*d)</f>
        <v>6.5025000000000004</v>
      </c>
      <c r="J83" s="8" t="s">
        <v>204</v>
      </c>
      <c r="K83" s="56" t="s">
        <v>189</v>
      </c>
      <c r="L83" s="56" t="s">
        <v>75</v>
      </c>
      <c r="M83" s="56">
        <f>R83*l_2c*12*d</f>
        <v>5.202</v>
      </c>
      <c r="N83" s="56">
        <f>S83*l_2m*12*d</f>
        <v>5.202</v>
      </c>
      <c r="O83" s="8"/>
      <c r="P83" s="56" t="s">
        <v>189</v>
      </c>
      <c r="Q83" s="56" t="s">
        <v>75</v>
      </c>
      <c r="R83" s="61">
        <v>2E-3</v>
      </c>
      <c r="S83" s="61">
        <v>2E-3</v>
      </c>
    </row>
    <row r="84" spans="1:19" ht="18.75" customHeight="1">
      <c r="A84" s="56" t="s">
        <v>189</v>
      </c>
      <c r="B84" s="56" t="s">
        <v>76</v>
      </c>
      <c r="C84" s="10">
        <f t="shared" si="2"/>
        <v>11.444400000000002</v>
      </c>
      <c r="D84" s="10">
        <f t="shared" si="2"/>
        <v>5.202</v>
      </c>
      <c r="E84" s="8" t="s">
        <v>204</v>
      </c>
      <c r="F84" s="56" t="s">
        <v>189</v>
      </c>
      <c r="G84" s="56" t="s">
        <v>76</v>
      </c>
      <c r="H84" s="10">
        <f>MAX(C75*12000/d*0.85/54000, 0.0025*l_2c*12*d)</f>
        <v>10.403540895061729</v>
      </c>
      <c r="I84" s="10">
        <f>MAX(D75*12000/d*0.85/54000, 0.0025*l_2m*12*d)</f>
        <v>6.5025000000000004</v>
      </c>
      <c r="J84" s="8" t="s">
        <v>204</v>
      </c>
      <c r="K84" s="56" t="s">
        <v>189</v>
      </c>
      <c r="L84" s="56" t="s">
        <v>76</v>
      </c>
      <c r="M84" s="56">
        <f>R84*l_2c*12*d</f>
        <v>11.444400000000002</v>
      </c>
      <c r="N84" s="56">
        <f>S84*l_2m*12*d</f>
        <v>5.202</v>
      </c>
      <c r="O84" s="8"/>
      <c r="P84" s="56" t="s">
        <v>189</v>
      </c>
      <c r="Q84" s="56" t="s">
        <v>76</v>
      </c>
      <c r="R84" s="61">
        <v>4.4000000000000003E-3</v>
      </c>
      <c r="S84" s="61">
        <v>2E-3</v>
      </c>
    </row>
    <row r="85" spans="1:19" ht="18.75" customHeight="1">
      <c r="A85" s="56" t="s">
        <v>189</v>
      </c>
      <c r="B85" s="56" t="s">
        <v>77</v>
      </c>
      <c r="C85" s="10">
        <f t="shared" si="2"/>
        <v>11.444400000000002</v>
      </c>
      <c r="D85" s="10">
        <f t="shared" si="2"/>
        <v>5.202</v>
      </c>
      <c r="E85" s="8" t="s">
        <v>204</v>
      </c>
      <c r="F85" s="56" t="s">
        <v>189</v>
      </c>
      <c r="G85" s="56" t="s">
        <v>77</v>
      </c>
      <c r="H85" s="10">
        <f>MAX(C76*12000/d*0.85/54000, 0.0025*l_2c*12*d)</f>
        <v>10.403540895061729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77</v>
      </c>
      <c r="M85" s="56">
        <f>R85*l_2c*12*d</f>
        <v>11.444400000000002</v>
      </c>
      <c r="N85" s="56">
        <f>S85*l_2m*12*d</f>
        <v>5.202</v>
      </c>
      <c r="O85" s="8"/>
      <c r="P85" s="56" t="s">
        <v>189</v>
      </c>
      <c r="Q85" s="56" t="s">
        <v>77</v>
      </c>
      <c r="R85" s="61">
        <v>4.4000000000000003E-3</v>
      </c>
      <c r="S85" s="61">
        <v>2E-3</v>
      </c>
    </row>
    <row r="87" spans="1:19" ht="18" customHeight="1">
      <c r="A87" s="21" t="s">
        <v>84</v>
      </c>
    </row>
    <row r="88" spans="1:19">
      <c r="A88" s="56" t="s">
        <v>27</v>
      </c>
      <c r="B88" s="56" t="s">
        <v>73</v>
      </c>
      <c r="C88" t="s">
        <v>28</v>
      </c>
      <c r="D88" t="s">
        <v>29</v>
      </c>
    </row>
    <row r="89" spans="1:19" ht="18.75" customHeight="1">
      <c r="A89" s="56" t="s">
        <v>188</v>
      </c>
      <c r="B89" s="56" t="s">
        <v>75</v>
      </c>
      <c r="C89" s="7">
        <f>1/12*l_1c*12*h^3</f>
        <v>46648</v>
      </c>
      <c r="D89" s="7">
        <f>1/12*l_1m*12*h^3</f>
        <v>46648</v>
      </c>
      <c r="E89" t="s">
        <v>205</v>
      </c>
    </row>
    <row r="90" spans="1:19" ht="18.75" customHeight="1">
      <c r="A90" s="56" t="s">
        <v>188</v>
      </c>
      <c r="B90" s="56" t="s">
        <v>76</v>
      </c>
      <c r="C90" s="7">
        <f>1/12*l_1c*12*h^3</f>
        <v>46648</v>
      </c>
      <c r="D90" s="7">
        <f>1/12*l_1m*12*h^3</f>
        <v>46648</v>
      </c>
      <c r="E90" s="8" t="s">
        <v>205</v>
      </c>
    </row>
    <row r="91" spans="1:19" ht="18.75" customHeight="1">
      <c r="A91" s="56" t="s">
        <v>188</v>
      </c>
      <c r="B91" s="56" t="s">
        <v>77</v>
      </c>
      <c r="C91" s="7">
        <f>1/12*l_1c*12*h^3</f>
        <v>46648</v>
      </c>
      <c r="D91" s="7">
        <f>1/12*l_1m*12*h^3</f>
        <v>46648</v>
      </c>
      <c r="E91" s="8" t="s">
        <v>205</v>
      </c>
    </row>
    <row r="92" spans="1:19" ht="18.75" customHeight="1">
      <c r="A92" s="56" t="s">
        <v>189</v>
      </c>
      <c r="B92" s="56" t="s">
        <v>75</v>
      </c>
      <c r="C92" s="7">
        <f>1/12*l_2c*12*h^3</f>
        <v>46648</v>
      </c>
      <c r="D92" s="7">
        <f>1/12*l_2m*12*h^3</f>
        <v>46648</v>
      </c>
      <c r="E92" s="8" t="s">
        <v>205</v>
      </c>
    </row>
    <row r="93" spans="1:19" ht="18.75" customHeight="1">
      <c r="A93" s="56" t="s">
        <v>189</v>
      </c>
      <c r="B93" s="56" t="s">
        <v>76</v>
      </c>
      <c r="C93" s="7">
        <f>1/12*l_2c*12*h^3</f>
        <v>46648</v>
      </c>
      <c r="D93" s="7">
        <f>1/12*l_2m*12*h^3</f>
        <v>46648</v>
      </c>
      <c r="E93" s="8" t="s">
        <v>205</v>
      </c>
    </row>
    <row r="94" spans="1:19" ht="18.75" customHeight="1">
      <c r="A94" s="56" t="s">
        <v>189</v>
      </c>
      <c r="B94" s="56" t="s">
        <v>77</v>
      </c>
      <c r="C94" s="7">
        <f>1/12*l_2c*12*h^3</f>
        <v>46648</v>
      </c>
      <c r="D94" s="7">
        <f>1/12*l_2m*12*h^3</f>
        <v>46648</v>
      </c>
      <c r="E94" s="8" t="s">
        <v>205</v>
      </c>
    </row>
    <row r="95" spans="1:19" ht="15.75" customHeight="1" thickBot="1"/>
    <row r="96" spans="1:19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204</v>
      </c>
      <c r="G98" s="15" t="s">
        <v>204</v>
      </c>
      <c r="H98" s="16" t="s">
        <v>10</v>
      </c>
      <c r="I98" s="16" t="s">
        <v>10</v>
      </c>
      <c r="J98" s="16" t="s">
        <v>205</v>
      </c>
      <c r="K98" s="16" t="s">
        <v>205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188</v>
      </c>
      <c r="B99" s="56" t="s">
        <v>75</v>
      </c>
      <c r="C99" s="7">
        <f t="shared" ref="C99:D104" si="3">IF(N99&lt;1, J99/(1-N99^2*(1-J99/C89)), C89)</f>
        <v>6962.9266693887075</v>
      </c>
      <c r="D99" s="7">
        <f t="shared" si="3"/>
        <v>8889.0197760594619</v>
      </c>
      <c r="E99" s="8" t="s">
        <v>205</v>
      </c>
      <c r="F99" s="30">
        <f>l_1c*12/(n*C80)</f>
        <v>4.9687925224375205</v>
      </c>
      <c r="G99" s="24">
        <f>l_1m*12/(n*D80)</f>
        <v>6.9563095314125283</v>
      </c>
      <c r="H99" s="24">
        <f t="shared" ref="H99:I104" si="4">(SQRT(2*d*F99+1) - 1)/F99</f>
        <v>2.073064767157041</v>
      </c>
      <c r="I99" s="24">
        <f t="shared" si="4"/>
        <v>1.7762461736605428</v>
      </c>
      <c r="J99" s="25">
        <f>MIN(l_1c * 12*H99^3/3+n*C80*(d-H99)^2,C89)</f>
        <v>5286.1128535458893</v>
      </c>
      <c r="K99" s="25">
        <f>MIN(l_1m * 12*I99^3/3+n*D80*(d-I99)^2,D89)</f>
        <v>3912.6021604936768</v>
      </c>
      <c r="L99" s="25">
        <f t="shared" ref="L99:M104" si="5">f_r*C89/y_t * 1 / 12000</f>
        <v>176.70598461851824</v>
      </c>
      <c r="M99" s="25">
        <f t="shared" si="5"/>
        <v>176.70598461851824</v>
      </c>
      <c r="N99" s="24">
        <f t="shared" ref="N99:O101" si="6">IF((D55+D58)=0, 1.1, L99/(D55+D58))</f>
        <v>0.52115013266026999</v>
      </c>
      <c r="O99" s="24">
        <f t="shared" si="6"/>
        <v>0.78172519899040482</v>
      </c>
      <c r="P99" s="24">
        <f>C80/(l_1c*d)</f>
        <v>3.3599999999999998E-2</v>
      </c>
      <c r="Q99" s="31">
        <f>D80/(l_1m*d)</f>
        <v>2.4E-2</v>
      </c>
    </row>
    <row r="100" spans="1:17" ht="18.75" customHeight="1">
      <c r="A100" s="56" t="s">
        <v>188</v>
      </c>
      <c r="B100" s="56" t="s">
        <v>76</v>
      </c>
      <c r="C100" s="7">
        <f t="shared" si="3"/>
        <v>6866.7250933952373</v>
      </c>
      <c r="D100" s="7">
        <f t="shared" si="3"/>
        <v>46648</v>
      </c>
      <c r="E100" s="8" t="s">
        <v>205</v>
      </c>
      <c r="F100" s="32">
        <f>l_1c*12/(n*C81)</f>
        <v>6.0489648099239384</v>
      </c>
      <c r="G100" s="22">
        <f>l_1m*12/(n*D81)</f>
        <v>6.9563095314125283</v>
      </c>
      <c r="H100" s="22">
        <f t="shared" si="4"/>
        <v>1.8945191583605709</v>
      </c>
      <c r="I100" s="22">
        <f t="shared" si="4"/>
        <v>1.7762461736605428</v>
      </c>
      <c r="J100" s="23">
        <f>MIN(l_1c * 12*H100^3/3+n*C81*(d-H100)^2,C90)</f>
        <v>4436.5646346614913</v>
      </c>
      <c r="K100" s="23">
        <f>MIN(l_1m * 12*I100^3/3+n*D81*(d-I100)^2,D90)</f>
        <v>3912.6021604936768</v>
      </c>
      <c r="L100" s="23">
        <f t="shared" si="5"/>
        <v>176.70598461851824</v>
      </c>
      <c r="M100" s="23">
        <f t="shared" si="5"/>
        <v>176.70598461851824</v>
      </c>
      <c r="N100" s="22">
        <f t="shared" si="6"/>
        <v>0.62538015919232381</v>
      </c>
      <c r="O100" s="22">
        <f t="shared" si="6"/>
        <v>1.1000000000000001</v>
      </c>
      <c r="P100" s="22">
        <f>C81/(l_1c*d)</f>
        <v>2.7599999999999996E-2</v>
      </c>
      <c r="Q100" s="33">
        <f>D81/(l_1m*d)</f>
        <v>2.4E-2</v>
      </c>
    </row>
    <row r="101" spans="1:17" ht="18.75" customHeight="1">
      <c r="A101" s="56" t="s">
        <v>188</v>
      </c>
      <c r="B101" s="56" t="s">
        <v>77</v>
      </c>
      <c r="C101" s="7">
        <f t="shared" si="3"/>
        <v>9005.0698014833215</v>
      </c>
      <c r="D101" s="7">
        <f t="shared" si="3"/>
        <v>18710.318714874153</v>
      </c>
      <c r="E101" s="8" t="s">
        <v>205</v>
      </c>
      <c r="F101" s="32">
        <f>l_1c*12/(n*C82)</f>
        <v>2.9601317154946925</v>
      </c>
      <c r="G101" s="22">
        <f>l_1m*12/(n*D82)</f>
        <v>6.9563095314125283</v>
      </c>
      <c r="H101" s="22">
        <f t="shared" si="4"/>
        <v>2.6165985901102506</v>
      </c>
      <c r="I101" s="22">
        <f t="shared" si="4"/>
        <v>1.7762461736605428</v>
      </c>
      <c r="J101" s="23">
        <f>MIN(l_1c * 12*H101^3/3+n*C82*(d-H101)^2,C91)</f>
        <v>8294.8856489497066</v>
      </c>
      <c r="K101" s="23">
        <f>MIN(l_1m * 12*I101^3/3+n*D82*(d-I101)^2,D91)</f>
        <v>3912.6021604936768</v>
      </c>
      <c r="L101" s="23">
        <f t="shared" si="5"/>
        <v>176.70598461851824</v>
      </c>
      <c r="M101" s="23">
        <f t="shared" si="5"/>
        <v>176.70598461851824</v>
      </c>
      <c r="N101" s="22">
        <f t="shared" si="6"/>
        <v>0.30971207883810337</v>
      </c>
      <c r="O101" s="22">
        <f t="shared" si="6"/>
        <v>0.92913623651430988</v>
      </c>
      <c r="P101" s="22">
        <f>C82/(l_1c*d)</f>
        <v>5.6399999999999999E-2</v>
      </c>
      <c r="Q101" s="33">
        <f>D82/(l_1m*d)</f>
        <v>2.4E-2</v>
      </c>
    </row>
    <row r="102" spans="1:17" ht="18.75" customHeight="1">
      <c r="A102" s="56" t="s">
        <v>189</v>
      </c>
      <c r="B102" s="56" t="s">
        <v>75</v>
      </c>
      <c r="C102" s="7">
        <f t="shared" si="3"/>
        <v>8679.7408137790608</v>
      </c>
      <c r="D102" s="7">
        <f t="shared" si="3"/>
        <v>46648</v>
      </c>
      <c r="E102" s="8" t="s">
        <v>205</v>
      </c>
      <c r="F102" s="32">
        <f>l_2c*12/(n*C83)</f>
        <v>6.9563095314125283</v>
      </c>
      <c r="G102" s="22">
        <f>l_2m*12/(n*D83)</f>
        <v>6.9563095314125283</v>
      </c>
      <c r="H102" s="22">
        <f t="shared" si="4"/>
        <v>1.7762461736605428</v>
      </c>
      <c r="I102" s="22">
        <f t="shared" si="4"/>
        <v>1.7762461736605428</v>
      </c>
      <c r="J102" s="23">
        <f>MIN(l_2c * 12*H102^3/3+n*C83*(d-H102)^2,C92)</f>
        <v>3912.6021604936768</v>
      </c>
      <c r="K102" s="23">
        <f>MIN(l_2m * 12*I102^3/3+n*D83*(d-I102)^2,D92)</f>
        <v>3912.6021604936768</v>
      </c>
      <c r="L102" s="23">
        <f t="shared" si="5"/>
        <v>176.70598461851824</v>
      </c>
      <c r="M102" s="23">
        <f t="shared" si="5"/>
        <v>176.70598461851824</v>
      </c>
      <c r="N102" s="22">
        <f t="shared" ref="N102:O104" si="7">IF((D61+D64)=0, 1.1, L102/(D61+D64))</f>
        <v>0.7742801970952583</v>
      </c>
      <c r="O102" s="22">
        <f t="shared" si="7"/>
        <v>1.1614202956428874</v>
      </c>
      <c r="P102" s="22">
        <f>C83/(l_2c*d)</f>
        <v>2.4E-2</v>
      </c>
      <c r="Q102" s="33">
        <f>D83/(l_2m*d)</f>
        <v>2.4E-2</v>
      </c>
    </row>
    <row r="103" spans="1:17" ht="18.75" customHeight="1">
      <c r="A103" s="56" t="s">
        <v>189</v>
      </c>
      <c r="B103" s="56" t="s">
        <v>76</v>
      </c>
      <c r="C103" s="7">
        <f t="shared" si="3"/>
        <v>8639.4089602368495</v>
      </c>
      <c r="D103" s="7">
        <f t="shared" si="3"/>
        <v>46648</v>
      </c>
      <c r="E103" s="8" t="s">
        <v>205</v>
      </c>
      <c r="F103" s="32">
        <f>l_2c*12/(n*C84)</f>
        <v>3.1619588779147851</v>
      </c>
      <c r="G103" s="22">
        <f>l_2m*12/(n*D84)</f>
        <v>6.9563095314125283</v>
      </c>
      <c r="H103" s="22">
        <f t="shared" si="4"/>
        <v>2.5411239765502227</v>
      </c>
      <c r="I103" s="22">
        <f t="shared" si="4"/>
        <v>1.7762461736605428</v>
      </c>
      <c r="J103" s="23">
        <f>MIN(l_2c * 12*H103^3/3+n*C84*(d-H103)^2,C93)</f>
        <v>7839.8328880346016</v>
      </c>
      <c r="K103" s="23">
        <f>MIN(l_2m * 12*I103^3/3+n*D84*(d-I103)^2,D93)</f>
        <v>3912.6021604936768</v>
      </c>
      <c r="L103" s="23">
        <f t="shared" si="5"/>
        <v>176.70598461851824</v>
      </c>
      <c r="M103" s="23">
        <f t="shared" si="5"/>
        <v>176.70598461851824</v>
      </c>
      <c r="N103" s="22">
        <f t="shared" si="7"/>
        <v>0.33353608490257275</v>
      </c>
      <c r="O103" s="22">
        <f t="shared" si="7"/>
        <v>1.0006082547077182</v>
      </c>
      <c r="P103" s="22">
        <f>C84/(l_2c*d)</f>
        <v>5.2800000000000007E-2</v>
      </c>
      <c r="Q103" s="33">
        <f>D84/(l_2m*d)</f>
        <v>2.4E-2</v>
      </c>
    </row>
    <row r="104" spans="1:17" ht="19.5" customHeight="1" thickBot="1">
      <c r="A104" s="56" t="s">
        <v>189</v>
      </c>
      <c r="B104" s="56" t="s">
        <v>77</v>
      </c>
      <c r="C104" s="7">
        <f t="shared" si="3"/>
        <v>8639.4089602368495</v>
      </c>
      <c r="D104" s="7">
        <f t="shared" si="3"/>
        <v>46648</v>
      </c>
      <c r="E104" s="8" t="s">
        <v>205</v>
      </c>
      <c r="F104" s="34">
        <f>l_2c*12/(n*C85)</f>
        <v>3.1619588779147851</v>
      </c>
      <c r="G104" s="35">
        <f>l_2m*12/(n*D85)</f>
        <v>6.9563095314125283</v>
      </c>
      <c r="H104" s="35">
        <f t="shared" si="4"/>
        <v>2.5411239765502227</v>
      </c>
      <c r="I104" s="35">
        <f t="shared" si="4"/>
        <v>1.7762461736605428</v>
      </c>
      <c r="J104" s="36">
        <f>MIN(l_2c * 12*H104^3/3+n*C85*(d-H104)^2,C94)</f>
        <v>7839.8328880346016</v>
      </c>
      <c r="K104" s="36">
        <f>MIN(l_2m * 12*I104^3/3+n*D85*(d-I104)^2,D94)</f>
        <v>3912.6021604936768</v>
      </c>
      <c r="L104" s="36">
        <f t="shared" si="5"/>
        <v>176.70598461851824</v>
      </c>
      <c r="M104" s="36">
        <f t="shared" si="5"/>
        <v>176.70598461851824</v>
      </c>
      <c r="N104" s="35">
        <f t="shared" si="7"/>
        <v>0.33353608490257275</v>
      </c>
      <c r="O104" s="35">
        <f t="shared" si="7"/>
        <v>1.0006082547077182</v>
      </c>
      <c r="P104" s="35">
        <f>C85/(l_2c*d)</f>
        <v>5.2800000000000007E-2</v>
      </c>
      <c r="Q104" s="37">
        <f>D85/(l_2m*d)</f>
        <v>2.4E-2</v>
      </c>
    </row>
    <row r="106" spans="1:17" ht="18" customHeight="1">
      <c r="A106" s="21" t="s">
        <v>206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188</v>
      </c>
      <c r="B108" s="7">
        <f>0.7*C99+ 0.15*SUM(C100:C101)</f>
        <v>7254.8179028038794</v>
      </c>
      <c r="C108" s="7">
        <f>0.7*D99+ 0.15*SUM(D100:D101)</f>
        <v>16026.061650472744</v>
      </c>
      <c r="D108" s="8" t="s">
        <v>205</v>
      </c>
    </row>
    <row r="109" spans="1:17" ht="18.75" customHeight="1">
      <c r="A109" s="56" t="s">
        <v>189</v>
      </c>
      <c r="B109" s="7">
        <f>0.7*C102+ 0.15*SUM(C103:C104)</f>
        <v>8667.6412577163974</v>
      </c>
      <c r="C109" s="7">
        <f>0.7*D102+ 0.15*SUM(D103:D104)</f>
        <v>46648</v>
      </c>
      <c r="D109" s="8" t="s">
        <v>205</v>
      </c>
    </row>
    <row r="110" spans="1:17">
      <c r="A110" s="56"/>
      <c r="B110" s="56"/>
    </row>
    <row r="111" spans="1:17" ht="18" customHeight="1">
      <c r="A111" s="21" t="s">
        <v>207</v>
      </c>
      <c r="B111" s="56"/>
    </row>
    <row r="112" spans="1:17" ht="18.75" customHeight="1">
      <c r="A112" s="3" t="s">
        <v>209</v>
      </c>
      <c r="B112" s="7">
        <f>(B108+C108+B109+C109)/2</f>
        <v>39298.260405496512</v>
      </c>
      <c r="C112" s="8" t="s">
        <v>205</v>
      </c>
    </row>
    <row r="113" spans="1:5">
      <c r="A113" s="56"/>
      <c r="B113" s="56"/>
    </row>
    <row r="114" spans="1:5" ht="18" customHeight="1">
      <c r="A114" s="21" t="s">
        <v>208</v>
      </c>
    </row>
    <row r="115" spans="1:5" ht="18.75" customHeight="1">
      <c r="A115" s="3" t="s">
        <v>210</v>
      </c>
      <c r="B115" s="7">
        <f>IF(l_1/l_2&lt;1.05, C89+D92, (C89+D89+C92+D92)/2)</f>
        <v>93296</v>
      </c>
      <c r="C115" s="8" t="s">
        <v>205</v>
      </c>
    </row>
    <row r="117" spans="1:5" ht="18" customHeight="1">
      <c r="A117" s="52" t="s">
        <v>211</v>
      </c>
    </row>
    <row r="118" spans="1:5" ht="18" customHeight="1">
      <c r="A118" s="3" t="s">
        <v>212</v>
      </c>
      <c r="B118" s="10">
        <f>B112/B115</f>
        <v>0.42122127857031932</v>
      </c>
    </row>
    <row r="120" spans="1:5" ht="19.5" customHeight="1" thickBot="1">
      <c r="A120" s="52" t="s">
        <v>100</v>
      </c>
      <c r="D120" s="52" t="s">
        <v>215</v>
      </c>
    </row>
    <row r="121" spans="1:5" ht="18" customHeight="1">
      <c r="A121" s="3" t="s">
        <v>213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>
      <c r="A122" s="11" t="s">
        <v>214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5.7763975155279494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5.6172264218657322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215016</v>
      </c>
      <c r="C127" t="s">
        <v>110</v>
      </c>
    </row>
    <row r="128" spans="1:5">
      <c r="A128" s="11" t="s">
        <v>216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39E0-7694-4CCC-8DF2-04F46C119F4A}">
  <dimension ref="A1:O14"/>
  <sheetViews>
    <sheetView workbookViewId="0">
      <selection activeCell="B3" sqref="B3:B5"/>
    </sheetView>
  </sheetViews>
  <sheetFormatPr defaultColWidth="8.85546875" defaultRowHeight="15"/>
  <cols>
    <col min="1" max="1" width="13.140625" style="8" customWidth="1"/>
    <col min="2" max="9" width="8.85546875" style="8"/>
    <col min="10" max="10" width="12.140625" style="8" bestFit="1" customWidth="1"/>
    <col min="11" max="11" width="10.140625" style="8" bestFit="1" customWidth="1"/>
    <col min="12" max="12" width="12.7109375" style="8" bestFit="1" customWidth="1"/>
    <col min="13" max="16384" width="8.85546875" style="8"/>
  </cols>
  <sheetData>
    <row r="1" spans="1:15">
      <c r="A1" s="52" t="s">
        <v>145</v>
      </c>
      <c r="I1" s="8" t="s">
        <v>167</v>
      </c>
    </row>
    <row r="3" spans="1:15" ht="18" customHeight="1">
      <c r="A3" s="3" t="s">
        <v>146</v>
      </c>
      <c r="B3" s="62">
        <v>5.6172264218657322</v>
      </c>
      <c r="C3" s="8" t="s">
        <v>107</v>
      </c>
      <c r="I3" s="8" t="s">
        <v>170</v>
      </c>
    </row>
    <row r="4" spans="1:15">
      <c r="A4" s="3" t="s">
        <v>109</v>
      </c>
      <c r="B4" s="6">
        <v>215016</v>
      </c>
      <c r="C4" s="8" t="s">
        <v>110</v>
      </c>
    </row>
    <row r="5" spans="1:15">
      <c r="A5" s="11" t="s">
        <v>216</v>
      </c>
      <c r="B5" s="61">
        <v>0.04</v>
      </c>
    </row>
    <row r="6" spans="1:15">
      <c r="A6" s="11"/>
    </row>
    <row r="7" spans="1:15">
      <c r="A7" s="52" t="s">
        <v>147</v>
      </c>
      <c r="H7" s="56" t="s">
        <v>148</v>
      </c>
      <c r="I7" s="56" t="s">
        <v>149</v>
      </c>
      <c r="L7" s="56" t="s">
        <v>150</v>
      </c>
    </row>
    <row r="8" spans="1:15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</row>
    <row r="9" spans="1:15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>
      <c r="A10" s="56" t="s">
        <v>129</v>
      </c>
      <c r="B10" s="10">
        <f>$B$3</f>
        <v>5.6172264218657322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1514.2800070686451</v>
      </c>
      <c r="J10" s="7" t="s">
        <v>172</v>
      </c>
      <c r="K10" s="7">
        <f>250000000/($B$4*$B$5)*($C10^2.43/$B10^1.8)*(1-EXP(-2*PI()*$B$5*$B10/$C10))</f>
        <v>1514.2800070686451</v>
      </c>
      <c r="L10" s="7" t="s">
        <v>172</v>
      </c>
      <c r="M10" s="60">
        <f>I10</f>
        <v>1514.2800070686451</v>
      </c>
      <c r="N10" s="8" t="s">
        <v>143</v>
      </c>
    </row>
    <row r="11" spans="1:15">
      <c r="A11" s="56" t="s">
        <v>130</v>
      </c>
      <c r="B11" s="10">
        <f>$B$3</f>
        <v>5.6172264218657322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4895.4573378997957</v>
      </c>
      <c r="I11" s="7">
        <f t="shared" ref="I11:I13" si="0">250000000/($B$4*$B$5)*($C11^2.43/$B11^1.8)*(1-EXP(-2*PI()*$B$5*$B11/$C11))</f>
        <v>2389.5757707542061</v>
      </c>
      <c r="J11" s="7">
        <f>175000000/($B$4*$B$5*SQRT($E11))*(EXP(-$G11*$E11))</f>
        <v>4558.8464508293391</v>
      </c>
      <c r="K11" s="7">
        <f>250000000/($B$4*$B$5)*($C11^2.43/$F11^1.8)*(1-EXP(-2*PI()*$B$5*$F11/$C11))</f>
        <v>1543.1280393215177</v>
      </c>
      <c r="L11" s="7" t="str">
        <f>IF(AND($B11&gt;$E11,$B11&lt;$F11),$J11 + ($B11-$E11) * ($K11-$J11)/($F11-$E11), "N/A")</f>
        <v>N/A</v>
      </c>
      <c r="M11" s="60">
        <f>IF($B11&gt;=F11,I11, IF($B11&lt;=E11,H11,L11))</f>
        <v>4895.4573378997957</v>
      </c>
      <c r="N11" s="8" t="s">
        <v>143</v>
      </c>
      <c r="O11" s="8" t="s">
        <v>162</v>
      </c>
    </row>
    <row r="12" spans="1:15">
      <c r="A12" s="56" t="s">
        <v>131</v>
      </c>
      <c r="B12" s="10">
        <f>$B$3</f>
        <v>5.6172264218657322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5178.316303177392</v>
      </c>
      <c r="I12" s="7">
        <f t="shared" si="0"/>
        <v>3096.4636758802635</v>
      </c>
      <c r="J12" s="7">
        <f>175000000/($B$4*$B$5*SQRT($E12))*(EXP(-$G12*$E12))</f>
        <v>4095.9319765048003</v>
      </c>
      <c r="K12" s="7">
        <f>250000000/($B$4*$B$5)*($C12^2.43/$F12^1.8)*(1-EXP(-2*PI()*$B$5*$F12/$C12))</f>
        <v>1751.9949978877621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5178.316303177392</v>
      </c>
      <c r="N12" s="8" t="s">
        <v>143</v>
      </c>
    </row>
    <row r="13" spans="1:15">
      <c r="A13" s="56" t="s">
        <v>132</v>
      </c>
      <c r="B13" s="10">
        <f>$B$3</f>
        <v>5.6172264218657322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5477.5188271289653</v>
      </c>
      <c r="I13" s="7">
        <f t="shared" si="0"/>
        <v>3863.4172154762687</v>
      </c>
      <c r="J13" s="7">
        <f>175000000/($B$4*$B$5*SQRT($E13))*(EXP(-$G13*$E13))</f>
        <v>3793.2705312684943</v>
      </c>
      <c r="K13" s="7">
        <f>250000000/($B$4*$B$5)*($C13^2.43/$F13^1.8)*(1-EXP(-2*PI()*$B$5*$F13/$C13))</f>
        <v>1950.5528483415283</v>
      </c>
      <c r="L13" s="7" t="str">
        <f t="shared" si="1"/>
        <v>N/A</v>
      </c>
      <c r="M13" s="60">
        <f>IF($B13&gt;=F13,I13, IF($B13&lt;=E13,H13,L13))</f>
        <v>5477.5188271289653</v>
      </c>
      <c r="N13" s="8" t="s">
        <v>143</v>
      </c>
    </row>
    <row r="14" spans="1:15">
      <c r="M14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4"/>
  <sheetViews>
    <sheetView topLeftCell="A115" zoomScale="85" zoomScaleNormal="85" zoomScalePageLayoutView="85" workbookViewId="0">
      <selection activeCell="B134" activeCellId="2" sqref="B130 B133 B134"/>
    </sheetView>
  </sheetViews>
  <sheetFormatPr defaultColWidth="8.85546875" defaultRowHeight="15"/>
  <cols>
    <col min="1" max="1" width="14" style="8" customWidth="1"/>
    <col min="2" max="3" width="8.85546875" style="8"/>
    <col min="4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42578125" style="8" bestFit="1" customWidth="1"/>
    <col min="14" max="16384" width="8.85546875" style="8"/>
  </cols>
  <sheetData>
    <row r="1" spans="1:19">
      <c r="I1" s="8" t="s">
        <v>167</v>
      </c>
    </row>
    <row r="2" spans="1:19">
      <c r="A2" s="52" t="s">
        <v>0</v>
      </c>
      <c r="D2" s="56" t="s">
        <v>1</v>
      </c>
    </row>
    <row r="3" spans="1:19" ht="18" customHeight="1">
      <c r="A3" s="3" t="s">
        <v>176</v>
      </c>
      <c r="B3" s="2">
        <v>34</v>
      </c>
      <c r="C3" s="8" t="s">
        <v>3</v>
      </c>
      <c r="D3" s="9" t="s">
        <v>144</v>
      </c>
      <c r="E3" s="8" t="s">
        <v>5</v>
      </c>
      <c r="I3" s="8" t="s">
        <v>168</v>
      </c>
    </row>
    <row r="4" spans="1:19" ht="18" customHeight="1">
      <c r="A4" s="3" t="s">
        <v>177</v>
      </c>
      <c r="B4" s="2">
        <v>34</v>
      </c>
      <c r="C4" s="8" t="s">
        <v>3</v>
      </c>
      <c r="D4" s="9" t="s">
        <v>4</v>
      </c>
      <c r="I4" s="8" t="s">
        <v>169</v>
      </c>
    </row>
    <row r="5" spans="1:19" ht="18" customHeight="1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>
      <c r="A6" s="3" t="s">
        <v>179</v>
      </c>
      <c r="B6" s="2">
        <v>28</v>
      </c>
      <c r="C6" s="8" t="s">
        <v>10</v>
      </c>
    </row>
    <row r="7" spans="1:19" ht="18" customHeight="1">
      <c r="A7" s="3" t="s">
        <v>180</v>
      </c>
      <c r="B7" s="2">
        <v>28</v>
      </c>
      <c r="C7" s="8" t="s">
        <v>10</v>
      </c>
    </row>
    <row r="8" spans="1:19">
      <c r="A8" s="3" t="s">
        <v>12</v>
      </c>
      <c r="B8" s="2">
        <v>0.2</v>
      </c>
    </row>
    <row r="9" spans="1:19" ht="18" customHeight="1">
      <c r="A9" s="3" t="s">
        <v>181</v>
      </c>
      <c r="B9" s="2">
        <v>5000</v>
      </c>
      <c r="C9" s="8" t="s">
        <v>14</v>
      </c>
    </row>
    <row r="10" spans="1:19" ht="18" customHeight="1">
      <c r="A10" s="3" t="s">
        <v>182</v>
      </c>
      <c r="B10" s="2">
        <v>60000</v>
      </c>
      <c r="C10" s="8" t="s">
        <v>14</v>
      </c>
    </row>
    <row r="11" spans="1:19" ht="18" customHeight="1">
      <c r="A11" s="3" t="s">
        <v>183</v>
      </c>
      <c r="B11" s="8">
        <f>IF(AND(B15&gt;90,B15&lt;=160),B15^1.5*33*SQRT(B9))*1.2</f>
        <v>5144190.8984795641</v>
      </c>
      <c r="C11" s="8" t="s">
        <v>14</v>
      </c>
      <c r="D11" s="8" t="s">
        <v>17</v>
      </c>
    </row>
    <row r="12" spans="1:19" ht="18">
      <c r="A12" s="3" t="s">
        <v>18</v>
      </c>
      <c r="B12" s="8">
        <v>14</v>
      </c>
      <c r="C12" s="8" t="s">
        <v>10</v>
      </c>
      <c r="D12" s="61">
        <v>12</v>
      </c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17.5</v>
      </c>
      <c r="L12" s="8" t="s">
        <v>10</v>
      </c>
      <c r="M12" s="3" t="s">
        <v>219</v>
      </c>
      <c r="N12" s="61">
        <f>1/3</f>
        <v>0.33333333333333331</v>
      </c>
      <c r="O12" s="8" t="s">
        <v>220</v>
      </c>
      <c r="Q12" s="8" t="s">
        <v>221</v>
      </c>
      <c r="R12" s="8">
        <f>N12*K12+H12*(1-N12)</f>
        <v>15.166666666666668</v>
      </c>
      <c r="S12" s="8" t="s">
        <v>10</v>
      </c>
    </row>
    <row r="13" spans="1:19">
      <c r="A13" s="3" t="s">
        <v>19</v>
      </c>
      <c r="B13" s="2">
        <f>H12-1.25</f>
        <v>12.75</v>
      </c>
      <c r="C13" s="8" t="s">
        <v>10</v>
      </c>
      <c r="D13" s="8" t="s">
        <v>164</v>
      </c>
    </row>
    <row r="14" spans="1:19" ht="18">
      <c r="A14" s="3" t="s">
        <v>222</v>
      </c>
      <c r="B14" s="2">
        <f>K12-1.25</f>
        <v>16.25</v>
      </c>
      <c r="C14" s="63" t="s">
        <v>10</v>
      </c>
    </row>
    <row r="15" spans="1:19" ht="18" customHeight="1">
      <c r="A15" s="3" t="s">
        <v>184</v>
      </c>
      <c r="B15" s="2">
        <v>150</v>
      </c>
      <c r="C15" s="8" t="s">
        <v>21</v>
      </c>
    </row>
    <row r="16" spans="1:19" ht="18" customHeight="1">
      <c r="A16" s="3" t="s">
        <v>185</v>
      </c>
      <c r="B16" s="8">
        <f>H12/2</f>
        <v>7</v>
      </c>
      <c r="C16" s="8" t="s">
        <v>10</v>
      </c>
    </row>
    <row r="17" spans="1:5" ht="18" customHeight="1">
      <c r="A17" s="3" t="s">
        <v>223</v>
      </c>
      <c r="B17" s="8">
        <f>h_drop/2</f>
        <v>8.75</v>
      </c>
      <c r="C17" s="63" t="s">
        <v>10</v>
      </c>
    </row>
    <row r="18" spans="1:5">
      <c r="A18" s="3" t="s">
        <v>23</v>
      </c>
      <c r="B18" s="5">
        <f>29000000/E_c</f>
        <v>5.6374268708751352</v>
      </c>
    </row>
    <row r="19" spans="1:5" ht="18" customHeight="1">
      <c r="A19" s="11" t="s">
        <v>186</v>
      </c>
      <c r="B19" s="4">
        <f>IF(AND(w_c&lt;150, w_c&gt;140), 0.85,IF(w_c=150, 1, "ERROR"))</f>
        <v>1</v>
      </c>
      <c r="D19" s="8" t="s">
        <v>165</v>
      </c>
    </row>
    <row r="20" spans="1:5" ht="18" customHeight="1">
      <c r="A20" s="3" t="s">
        <v>187</v>
      </c>
      <c r="B20" s="5">
        <f>4.5*lambda_w*SQRT(f_c)</f>
        <v>318.1980515339464</v>
      </c>
      <c r="C20" s="8" t="s">
        <v>14</v>
      </c>
      <c r="D20" s="8" t="s">
        <v>166</v>
      </c>
    </row>
    <row r="21" spans="1:5">
      <c r="A21" s="3"/>
    </row>
    <row r="22" spans="1:5">
      <c r="A22" s="21" t="s">
        <v>26</v>
      </c>
    </row>
    <row r="23" spans="1:5">
      <c r="A23" s="3" t="s">
        <v>27</v>
      </c>
      <c r="B23" s="56" t="s">
        <v>28</v>
      </c>
      <c r="C23" s="56" t="s">
        <v>29</v>
      </c>
    </row>
    <row r="24" spans="1:5" ht="18" customHeight="1">
      <c r="A24" s="3" t="s">
        <v>188</v>
      </c>
      <c r="B24" s="56">
        <f>MIN(0.25*l_1, 0.25*l_2)*2</f>
        <v>17</v>
      </c>
      <c r="C24" s="56">
        <f>l_2-B24</f>
        <v>17</v>
      </c>
      <c r="D24" s="8" t="s">
        <v>3</v>
      </c>
      <c r="E24" s="8" t="s">
        <v>31</v>
      </c>
    </row>
    <row r="25" spans="1:5" ht="18" customHeight="1">
      <c r="A25" s="3" t="s">
        <v>189</v>
      </c>
      <c r="B25" s="56">
        <f>MIN(0.25*l_1, 0.25*l_2)*2</f>
        <v>17</v>
      </c>
      <c r="C25" s="56">
        <f>l_1-B25</f>
        <v>17</v>
      </c>
      <c r="D25" s="8" t="s">
        <v>3</v>
      </c>
    </row>
    <row r="27" spans="1:5">
      <c r="A27" s="3" t="s">
        <v>33</v>
      </c>
    </row>
    <row r="28" spans="1:5">
      <c r="A28" s="3" t="s">
        <v>34</v>
      </c>
      <c r="B28" s="2">
        <v>0</v>
      </c>
      <c r="C28" s="8" t="s">
        <v>35</v>
      </c>
    </row>
    <row r="29" spans="1:5">
      <c r="A29" s="3" t="s">
        <v>36</v>
      </c>
      <c r="B29" s="2">
        <v>80</v>
      </c>
      <c r="C29" s="8" t="s">
        <v>35</v>
      </c>
    </row>
    <row r="30" spans="1:5" ht="18" customHeight="1">
      <c r="A30" s="3" t="s">
        <v>37</v>
      </c>
      <c r="B30" s="2">
        <v>11</v>
      </c>
      <c r="C30" s="8" t="s">
        <v>35</v>
      </c>
    </row>
    <row r="31" spans="1:5">
      <c r="A31" s="3" t="s">
        <v>38</v>
      </c>
      <c r="B31" s="6">
        <f>(h/12*w_c)</f>
        <v>175</v>
      </c>
      <c r="C31" s="8" t="s">
        <v>35</v>
      </c>
    </row>
    <row r="32" spans="1:5" ht="17.25" customHeight="1">
      <c r="A32" s="3" t="s">
        <v>39</v>
      </c>
      <c r="B32" s="6">
        <f>(h / 12 * w_c +SDL+LLvib)*l_1*l_2/32.2</f>
        <v>6677.5155279503097</v>
      </c>
      <c r="C32" s="8" t="s">
        <v>190</v>
      </c>
    </row>
    <row r="33" spans="1:14">
      <c r="A33" s="3" t="s">
        <v>41</v>
      </c>
      <c r="B33" s="6">
        <f>mass * 32.2/1000</f>
        <v>215.01599999999999</v>
      </c>
      <c r="C33" s="8" t="s">
        <v>42</v>
      </c>
    </row>
    <row r="34" spans="1:14" ht="15.75" customHeight="1" thickBot="1">
      <c r="A34" s="3"/>
      <c r="B34" s="6"/>
    </row>
    <row r="35" spans="1:14" ht="15.75" customHeight="1" thickBot="1">
      <c r="A35" s="21" t="s">
        <v>43</v>
      </c>
      <c r="B35" s="6"/>
      <c r="F35" s="53" t="s">
        <v>44</v>
      </c>
      <c r="G35" s="54"/>
      <c r="H35" s="55"/>
    </row>
    <row r="36" spans="1:14">
      <c r="A36" s="3"/>
      <c r="F36" s="45" t="s">
        <v>45</v>
      </c>
      <c r="G36" s="46" t="s">
        <v>45</v>
      </c>
      <c r="H36" s="46" t="s">
        <v>45</v>
      </c>
      <c r="I36" s="46" t="s">
        <v>45</v>
      </c>
      <c r="J36" s="46" t="s">
        <v>46</v>
      </c>
      <c r="K36" s="46" t="s">
        <v>46</v>
      </c>
      <c r="L36" s="46" t="s">
        <v>46</v>
      </c>
      <c r="M36" s="47" t="s">
        <v>46</v>
      </c>
    </row>
    <row r="37" spans="1:14" ht="18" customHeight="1">
      <c r="A37" s="21" t="s">
        <v>47</v>
      </c>
      <c r="F37" s="41" t="s">
        <v>28</v>
      </c>
      <c r="G37" s="42" t="s">
        <v>28</v>
      </c>
      <c r="H37" s="42" t="s">
        <v>29</v>
      </c>
      <c r="I37" s="42" t="s">
        <v>29</v>
      </c>
      <c r="J37" s="42" t="s">
        <v>28</v>
      </c>
      <c r="K37" s="42" t="s">
        <v>28</v>
      </c>
      <c r="L37" s="42" t="s">
        <v>29</v>
      </c>
      <c r="M37" s="48" t="s">
        <v>29</v>
      </c>
    </row>
    <row r="38" spans="1:14" ht="18.75" customHeight="1" thickBot="1">
      <c r="A38" s="3" t="s">
        <v>191</v>
      </c>
      <c r="B38" s="6">
        <f>1.2*(SDL+SW) +1.6*LL</f>
        <v>338</v>
      </c>
      <c r="E38" s="3" t="s">
        <v>49</v>
      </c>
      <c r="F38" s="49" t="s">
        <v>50</v>
      </c>
      <c r="G38" s="50" t="s">
        <v>51</v>
      </c>
      <c r="H38" s="50" t="s">
        <v>50</v>
      </c>
      <c r="I38" s="50" t="s">
        <v>51</v>
      </c>
      <c r="J38" s="50" t="s">
        <v>50</v>
      </c>
      <c r="K38" s="50" t="s">
        <v>51</v>
      </c>
      <c r="L38" s="50" t="s">
        <v>50</v>
      </c>
      <c r="M38" s="51" t="s">
        <v>51</v>
      </c>
    </row>
    <row r="39" spans="1:14" ht="18" customHeight="1">
      <c r="A39" s="3" t="s">
        <v>192</v>
      </c>
      <c r="B39" s="6">
        <f>(q_u*l_2*(l_1-c_1 / 12)^2 / 8) / 1000</f>
        <v>1440.4902777777777</v>
      </c>
      <c r="C39" s="8" t="s">
        <v>53</v>
      </c>
      <c r="E39" s="3" t="s">
        <v>54</v>
      </c>
      <c r="F39" s="18">
        <v>0.35</v>
      </c>
      <c r="G39" s="19">
        <v>0.6</v>
      </c>
      <c r="H39" s="19">
        <v>0.35</v>
      </c>
      <c r="I39" s="19">
        <v>0.4</v>
      </c>
      <c r="J39" s="19">
        <v>0.52</v>
      </c>
      <c r="K39" s="19">
        <v>0.6</v>
      </c>
      <c r="L39" s="19">
        <v>0.52</v>
      </c>
      <c r="M39" s="20">
        <v>0.4</v>
      </c>
    </row>
    <row r="40" spans="1:14" ht="18" customHeight="1">
      <c r="A40" s="3" t="s">
        <v>193</v>
      </c>
      <c r="B40" s="6">
        <f>(q_u*l_1*(l_2 - c_2 / 12) ^2 / 8) / 1000</f>
        <v>1440.4902777777777</v>
      </c>
      <c r="C40" s="8" t="s">
        <v>53</v>
      </c>
      <c r="E40" s="3" t="s">
        <v>56</v>
      </c>
      <c r="F40" s="13">
        <v>0.65</v>
      </c>
      <c r="G40" s="12">
        <v>0.75</v>
      </c>
      <c r="H40" s="12">
        <v>0.65</v>
      </c>
      <c r="I40" s="12">
        <v>0.25</v>
      </c>
      <c r="J40" s="12">
        <v>0.26</v>
      </c>
      <c r="K40" s="12">
        <v>1</v>
      </c>
      <c r="L40" s="12">
        <v>0.26</v>
      </c>
      <c r="M40" s="14">
        <v>0</v>
      </c>
      <c r="N40" s="8" t="s">
        <v>57</v>
      </c>
    </row>
    <row r="41" spans="1:14" ht="18.75" customHeight="1" thickBot="1">
      <c r="E41" s="3" t="s">
        <v>58</v>
      </c>
      <c r="F41" s="15">
        <v>0.65</v>
      </c>
      <c r="G41" s="16">
        <v>0.75</v>
      </c>
      <c r="H41" s="16">
        <v>0.65</v>
      </c>
      <c r="I41" s="16">
        <v>0.25</v>
      </c>
      <c r="J41" s="16">
        <v>0.7</v>
      </c>
      <c r="K41" s="16">
        <v>0.75</v>
      </c>
      <c r="L41" s="16">
        <v>0.7</v>
      </c>
      <c r="M41" s="17">
        <v>0.25</v>
      </c>
    </row>
    <row r="42" spans="1:14" ht="18">
      <c r="A42" s="3" t="s">
        <v>194</v>
      </c>
      <c r="B42" s="6">
        <f>IF($D$3="interior", F39*B39,  IF($D$3="exterior", J39*B39, "ERROR"))</f>
        <v>749.05494444444446</v>
      </c>
      <c r="C42" s="8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8">
      <c r="A43" s="3" t="s">
        <v>195</v>
      </c>
      <c r="B43" s="6">
        <f>IF($D$3="interior", F40*B39,  IF($D$3="exterior", J40*B39, "ERROR"))</f>
        <v>374.52747222222223</v>
      </c>
      <c r="C43" s="8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8">
      <c r="A44" s="3" t="s">
        <v>196</v>
      </c>
      <c r="B44" s="6">
        <f>IF($D$3="interior", F41*B39,  IF($D$3="exterior", J41*B39, "ERROR"))</f>
        <v>1008.3431944444443</v>
      </c>
      <c r="C44" s="8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8">
      <c r="A45" s="3" t="s">
        <v>197</v>
      </c>
      <c r="B45" s="6">
        <f>IF($D$4="interior", F39*B40,  IF($D$4="exterior", J39*B40, "ERROR"))</f>
        <v>504.17159722222215</v>
      </c>
      <c r="C45" s="8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ht="18">
      <c r="A46" s="3" t="s">
        <v>198</v>
      </c>
      <c r="B46" s="6">
        <f>IF($D$4="interior", F40*B40,  IF($D$4="exterior", J40*B40, "ERROR"))</f>
        <v>936.31868055555549</v>
      </c>
      <c r="C46" s="8" t="s">
        <v>53</v>
      </c>
      <c r="E46" s="3"/>
      <c r="F46" s="56"/>
      <c r="G46" s="56"/>
      <c r="H46" s="56"/>
      <c r="I46" s="56"/>
      <c r="J46" s="56"/>
      <c r="K46" s="56"/>
      <c r="L46" s="56"/>
      <c r="M46" s="56"/>
    </row>
    <row r="47" spans="1:14" ht="18">
      <c r="A47" s="3" t="s">
        <v>199</v>
      </c>
      <c r="B47" s="6">
        <f>IF($D$4="interior", F41*B40,  IF($D$4="exterior", J41*B40, "ERROR"))</f>
        <v>936.31868055555549</v>
      </c>
      <c r="C47" s="8" t="s">
        <v>53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>
      <c r="E48" s="3"/>
      <c r="F48" s="56"/>
      <c r="G48" s="56"/>
      <c r="H48" s="56"/>
      <c r="I48" s="56"/>
      <c r="J48" s="56"/>
      <c r="K48" s="56"/>
      <c r="L48" s="56"/>
      <c r="M48" s="56"/>
    </row>
    <row r="49" spans="1:13">
      <c r="A49" s="21" t="s">
        <v>65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200</v>
      </c>
      <c r="B50" s="7">
        <f>((SW+SDL)*l_2*(l_1-c_1 / 12) ^ 2 / 8) / 1000</f>
        <v>745.81597222222229</v>
      </c>
      <c r="C50" s="8" t="s">
        <v>53</v>
      </c>
      <c r="D50" s="8" t="s">
        <v>67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201</v>
      </c>
      <c r="B51" s="7">
        <f>((LL)*l_2*(l_1-c_1 / 12) ^ 2 / 8) / 1000</f>
        <v>340.94444444444446</v>
      </c>
      <c r="C51" s="8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ht="18" customHeight="1">
      <c r="A52" s="3" t="s">
        <v>202</v>
      </c>
      <c r="B52" s="7">
        <f>((SW+SDL)*l_1*(l_2-c_2 / 12) ^ 2 / 8) / 1000</f>
        <v>745.81597222222229</v>
      </c>
      <c r="C52" s="8" t="s">
        <v>53</v>
      </c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3" t="s">
        <v>203</v>
      </c>
      <c r="B53" s="7">
        <f>((LL)*l_1*(l_2-c_2 / 12) ^ 2 / 8) / 1000</f>
        <v>340.94444444444446</v>
      </c>
      <c r="C53" s="8" t="s">
        <v>53</v>
      </c>
      <c r="E53" s="3"/>
      <c r="F53" s="56"/>
      <c r="G53" s="56"/>
      <c r="H53" s="56"/>
      <c r="I53" s="56"/>
      <c r="J53" s="56"/>
      <c r="K53" s="56"/>
      <c r="L53" s="56"/>
      <c r="M53" s="56"/>
    </row>
    <row r="54" spans="1:13">
      <c r="A54" s="3"/>
      <c r="B54" s="7"/>
      <c r="E54" s="3"/>
      <c r="F54" s="56"/>
      <c r="G54" s="56"/>
      <c r="H54" s="56"/>
      <c r="I54" s="56"/>
      <c r="J54" s="56"/>
      <c r="K54" s="56"/>
      <c r="L54" s="56"/>
      <c r="M54" s="56"/>
    </row>
    <row r="55" spans="1:13" ht="18" customHeight="1">
      <c r="A55" s="21" t="s">
        <v>71</v>
      </c>
    </row>
    <row r="56" spans="1:13">
      <c r="A56" s="56" t="s">
        <v>27</v>
      </c>
      <c r="B56" s="56" t="s">
        <v>72</v>
      </c>
      <c r="C56" s="56" t="s">
        <v>73</v>
      </c>
      <c r="D56" s="56" t="s">
        <v>28</v>
      </c>
      <c r="E56" s="56" t="s">
        <v>29</v>
      </c>
    </row>
    <row r="57" spans="1:13" ht="18" customHeight="1">
      <c r="A57" s="56" t="s">
        <v>188</v>
      </c>
      <c r="B57" s="56" t="s">
        <v>74</v>
      </c>
      <c r="C57" s="56" t="s">
        <v>75</v>
      </c>
      <c r="D57" s="7">
        <f>IF($D$3="interior", F39*G39*B50,  IF($D$3="exterior", J39*K39*B50, "ERROR"))</f>
        <v>232.69458333333336</v>
      </c>
      <c r="E57" s="7">
        <f>IF($D$3="interior", H39*I39*B50,  IF($D$3="exterior", L39*M39*B50, "ERROR"))</f>
        <v>155.12972222222226</v>
      </c>
      <c r="F57" s="1" t="s">
        <v>53</v>
      </c>
    </row>
    <row r="58" spans="1:13" ht="18" customHeight="1">
      <c r="A58" s="56" t="s">
        <v>188</v>
      </c>
      <c r="B58" s="56" t="s">
        <v>74</v>
      </c>
      <c r="C58" s="56" t="s">
        <v>76</v>
      </c>
      <c r="D58" s="7">
        <f>IF($D$3="interior", F40*G40*B50,  IF($D$3="exterior", J40*K40*B50, "ERROR"))</f>
        <v>193.91215277777781</v>
      </c>
      <c r="E58" s="7">
        <f>IF($D$3="interior", H40*I40*B50,  IF($D$3="exterior", L40*M40*B50, "ERROR"))</f>
        <v>0</v>
      </c>
      <c r="F58" s="1" t="s">
        <v>53</v>
      </c>
    </row>
    <row r="59" spans="1:13" ht="18" customHeight="1">
      <c r="A59" s="56" t="s">
        <v>188</v>
      </c>
      <c r="B59" s="56" t="s">
        <v>74</v>
      </c>
      <c r="C59" s="56" t="s">
        <v>77</v>
      </c>
      <c r="D59" s="7">
        <f>IF($D$3="interior", F41*G41*B50,  IF($D$3="exterior", J41*K41*B50, "ERROR"))</f>
        <v>391.55338541666663</v>
      </c>
      <c r="E59" s="7">
        <f>IF($D$3="interior", H41*I41*B50,  IF($D$3="exterior", L41*M41*B50, "ERROR"))</f>
        <v>130.51779513888889</v>
      </c>
      <c r="F59" s="1" t="s">
        <v>53</v>
      </c>
    </row>
    <row r="60" spans="1:13" ht="18" customHeight="1">
      <c r="A60" s="56" t="s">
        <v>188</v>
      </c>
      <c r="B60" s="56" t="s">
        <v>78</v>
      </c>
      <c r="C60" s="56" t="s">
        <v>75</v>
      </c>
      <c r="D60" s="7">
        <f>IF($D$3="interior", F39*G39*B51,  IF($D$3="exterior", J39*K39*B51, "ERROR"))</f>
        <v>106.37466666666667</v>
      </c>
      <c r="E60" s="7">
        <f>IF($D$3="interior", H39*I39*B51,  IF($D$3="exterior", L39*M39*B51, "ERROR"))</f>
        <v>70.916444444444451</v>
      </c>
      <c r="F60" s="1" t="s">
        <v>53</v>
      </c>
    </row>
    <row r="61" spans="1:13" ht="18" customHeight="1">
      <c r="A61" s="56" t="s">
        <v>188</v>
      </c>
      <c r="B61" s="56" t="s">
        <v>78</v>
      </c>
      <c r="C61" s="56" t="s">
        <v>76</v>
      </c>
      <c r="D61" s="7">
        <f>IF($D$3="interior", F40*G40*B51,  IF($D$3="exterior", J40*K40*B51, "ERROR"))</f>
        <v>88.645555555555561</v>
      </c>
      <c r="E61" s="7">
        <f>IF($D$3="interior", H40*I40*B51,  IF($D$3="exterior", L40*M40*B51, "ERROR"))</f>
        <v>0</v>
      </c>
      <c r="F61" s="1" t="s">
        <v>53</v>
      </c>
    </row>
    <row r="62" spans="1:13" ht="18" customHeight="1">
      <c r="A62" s="56" t="s">
        <v>188</v>
      </c>
      <c r="B62" s="56" t="s">
        <v>78</v>
      </c>
      <c r="C62" s="56" t="s">
        <v>77</v>
      </c>
      <c r="D62" s="7">
        <f>IF($D$3="interior", F41*G41*B51,  IF($D$3="exterior", J41*K41*B51, "ERROR"))</f>
        <v>178.99583333333331</v>
      </c>
      <c r="E62" s="7">
        <f>IF($D$3="interior", H41*I41*B51,  IF($D$3="exterior", L41*M41*B51, "ERROR"))</f>
        <v>59.665277777777774</v>
      </c>
      <c r="F62" s="1" t="s">
        <v>53</v>
      </c>
    </row>
    <row r="63" spans="1:13" ht="18" customHeight="1">
      <c r="A63" s="56" t="s">
        <v>189</v>
      </c>
      <c r="B63" s="56" t="s">
        <v>74</v>
      </c>
      <c r="C63" s="56" t="s">
        <v>75</v>
      </c>
      <c r="D63" s="7">
        <f>IF($D$4="interior", F39*G39*B52,  IF($D$4="exterior", J39*K39*B52, "ERROR"))</f>
        <v>156.62135416666666</v>
      </c>
      <c r="E63" s="7">
        <f>IF($D$4="interior", H39*I39*B52,  IF($D$4="exterior", L39*M39*B52, "ERROR"))</f>
        <v>104.41423611111111</v>
      </c>
      <c r="F63" s="1" t="s">
        <v>53</v>
      </c>
    </row>
    <row r="64" spans="1:13" ht="18" customHeight="1">
      <c r="A64" s="56" t="s">
        <v>189</v>
      </c>
      <c r="B64" s="56" t="s">
        <v>74</v>
      </c>
      <c r="C64" s="56" t="s">
        <v>76</v>
      </c>
      <c r="D64" s="7">
        <f>IF($D$4="interior", F40*G40*B52,  IF($D$4="exterior", J40*K40*B52, "ERROR"))</f>
        <v>363.58528645833337</v>
      </c>
      <c r="E64" s="7">
        <f>IF($D$4="interior", H40*I40*B52,  IF($D$4="exterior", L40*M40*B52, "ERROR"))</f>
        <v>121.19509548611113</v>
      </c>
      <c r="F64" s="1" t="s">
        <v>53</v>
      </c>
    </row>
    <row r="65" spans="1:18" ht="18" customHeight="1">
      <c r="A65" s="56" t="s">
        <v>189</v>
      </c>
      <c r="B65" s="56" t="s">
        <v>74</v>
      </c>
      <c r="C65" s="56" t="s">
        <v>77</v>
      </c>
      <c r="D65" s="7">
        <f>IF($D$4="interior", F41*G41*B52,  IF($D$4="exterior", J41*K41*B52, "ERROR"))</f>
        <v>363.58528645833337</v>
      </c>
      <c r="E65" s="7">
        <f>IF($D$4="interior", H41*I41*B52,  IF($D$4="exterior", L41*M41*B52, "ERROR"))</f>
        <v>121.19509548611113</v>
      </c>
      <c r="F65" s="1" t="s">
        <v>53</v>
      </c>
    </row>
    <row r="66" spans="1:18" ht="18" customHeight="1">
      <c r="A66" s="56" t="s">
        <v>189</v>
      </c>
      <c r="B66" s="56" t="s">
        <v>78</v>
      </c>
      <c r="C66" s="56" t="s">
        <v>75</v>
      </c>
      <c r="D66" s="7">
        <f>IF($D$4="interior", F39*G39*B53,  IF($D$4="exterior", J39*K39*B53, "ERROR"))</f>
        <v>71.598333333333329</v>
      </c>
      <c r="E66" s="7">
        <f>IF($D$4="interior", H39*I39*B53,  IF($D$4="exterior", L39*M39*B53, "ERROR"))</f>
        <v>47.732222222222219</v>
      </c>
      <c r="F66" s="1" t="s">
        <v>53</v>
      </c>
    </row>
    <row r="67" spans="1:18" ht="18" customHeight="1">
      <c r="A67" s="56" t="s">
        <v>189</v>
      </c>
      <c r="B67" s="56" t="s">
        <v>78</v>
      </c>
      <c r="C67" s="56" t="s">
        <v>76</v>
      </c>
      <c r="D67" s="7">
        <f>IF($D$4="interior", F40*G40*B53,  IF($D$4="exterior", J40*K40*B53, "ERROR"))</f>
        <v>166.21041666666667</v>
      </c>
      <c r="E67" s="7">
        <f>IF($D$4="interior", H40*I40*B53,  IF($D$4="exterior", L40*M40*B53, "ERROR"))</f>
        <v>55.403472222222227</v>
      </c>
      <c r="F67" s="1" t="s">
        <v>53</v>
      </c>
    </row>
    <row r="68" spans="1:18" ht="18" customHeight="1">
      <c r="A68" s="56" t="s">
        <v>189</v>
      </c>
      <c r="B68" s="56" t="s">
        <v>78</v>
      </c>
      <c r="C68" s="56" t="s">
        <v>77</v>
      </c>
      <c r="D68" s="7">
        <f>IF($D$4="interior", F41*G41*B53,  IF($D$4="exterior", J41*K41*B53, "ERROR"))</f>
        <v>166.21041666666667</v>
      </c>
      <c r="E68" s="7">
        <f>IF($D$4="interior", H41*I41*B53,  IF($D$4="exterior", L41*M41*B53, "ERROR"))</f>
        <v>55.403472222222227</v>
      </c>
      <c r="F68" s="1" t="s">
        <v>53</v>
      </c>
    </row>
    <row r="71" spans="1:18" ht="18" customHeight="1">
      <c r="A71" s="52" t="s">
        <v>79</v>
      </c>
    </row>
    <row r="72" spans="1:18">
      <c r="A72" s="56" t="s">
        <v>27</v>
      </c>
      <c r="B72" s="56" t="s">
        <v>73</v>
      </c>
      <c r="C72" s="56" t="s">
        <v>28</v>
      </c>
      <c r="D72" s="56" t="s">
        <v>29</v>
      </c>
    </row>
    <row r="73" spans="1:18" ht="18" customHeight="1">
      <c r="A73" s="56" t="s">
        <v>188</v>
      </c>
      <c r="B73" s="56" t="s">
        <v>75</v>
      </c>
      <c r="C73" s="7">
        <f t="shared" ref="C73:D75" si="0">1.2*D57+1.6*D60</f>
        <v>449.43296666666669</v>
      </c>
      <c r="D73" s="7">
        <f t="shared" si="0"/>
        <v>299.62197777777783</v>
      </c>
      <c r="E73" s="8" t="s">
        <v>53</v>
      </c>
    </row>
    <row r="74" spans="1:18" ht="18" customHeight="1">
      <c r="A74" s="56" t="s">
        <v>188</v>
      </c>
      <c r="B74" s="56" t="s">
        <v>76</v>
      </c>
      <c r="C74" s="7">
        <f t="shared" si="0"/>
        <v>374.52747222222229</v>
      </c>
      <c r="D74" s="7">
        <f t="shared" si="0"/>
        <v>0</v>
      </c>
      <c r="E74" s="8" t="s">
        <v>53</v>
      </c>
    </row>
    <row r="75" spans="1:18" ht="18" customHeight="1">
      <c r="A75" s="56" t="s">
        <v>188</v>
      </c>
      <c r="B75" s="56" t="s">
        <v>77</v>
      </c>
      <c r="C75" s="7">
        <f t="shared" si="0"/>
        <v>756.25739583333325</v>
      </c>
      <c r="D75" s="7">
        <f t="shared" si="0"/>
        <v>252.0857986111111</v>
      </c>
      <c r="E75" s="8" t="s">
        <v>53</v>
      </c>
    </row>
    <row r="76" spans="1:18" ht="18" customHeight="1">
      <c r="A76" s="56" t="s">
        <v>189</v>
      </c>
      <c r="B76" s="56" t="s">
        <v>75</v>
      </c>
      <c r="C76" s="7">
        <f t="shared" ref="C76:D78" si="1">1.2*D63+1.6*D66</f>
        <v>302.50295833333331</v>
      </c>
      <c r="D76" s="7">
        <f t="shared" si="1"/>
        <v>201.66863888888889</v>
      </c>
      <c r="E76" s="8" t="s">
        <v>53</v>
      </c>
    </row>
    <row r="77" spans="1:18" ht="18" customHeight="1">
      <c r="A77" s="56" t="s">
        <v>189</v>
      </c>
      <c r="B77" s="56" t="s">
        <v>76</v>
      </c>
      <c r="C77" s="7">
        <f t="shared" si="1"/>
        <v>702.2390104166667</v>
      </c>
      <c r="D77" s="7">
        <f t="shared" si="1"/>
        <v>234.07967013888893</v>
      </c>
      <c r="E77" s="8" t="s">
        <v>53</v>
      </c>
    </row>
    <row r="78" spans="1:18" ht="18" customHeight="1">
      <c r="A78" s="56" t="s">
        <v>189</v>
      </c>
      <c r="B78" s="56" t="s">
        <v>77</v>
      </c>
      <c r="C78" s="7">
        <f t="shared" si="1"/>
        <v>702.2390104166667</v>
      </c>
      <c r="D78" s="7">
        <f t="shared" si="1"/>
        <v>234.07967013888893</v>
      </c>
      <c r="E78" s="8" t="s">
        <v>53</v>
      </c>
    </row>
    <row r="80" spans="1:18" ht="18" customHeight="1">
      <c r="A80" s="21" t="s">
        <v>80</v>
      </c>
      <c r="F80" s="8" t="s">
        <v>173</v>
      </c>
      <c r="M80" s="8" t="s">
        <v>175</v>
      </c>
      <c r="R80" s="8" t="s">
        <v>174</v>
      </c>
    </row>
    <row r="81" spans="1:19">
      <c r="A81" s="56" t="s">
        <v>27</v>
      </c>
      <c r="B81" s="56" t="s">
        <v>73</v>
      </c>
      <c r="C81" s="8" t="s">
        <v>28</v>
      </c>
      <c r="D81" s="8" t="s">
        <v>29</v>
      </c>
      <c r="F81" s="56" t="s">
        <v>27</v>
      </c>
      <c r="G81" s="56" t="s">
        <v>73</v>
      </c>
      <c r="H81" s="8" t="s">
        <v>28</v>
      </c>
      <c r="I81" s="8" t="s">
        <v>29</v>
      </c>
      <c r="K81" s="56" t="s">
        <v>27</v>
      </c>
      <c r="L81" s="56" t="s">
        <v>73</v>
      </c>
      <c r="M81" s="56" t="s">
        <v>28</v>
      </c>
      <c r="N81" s="56" t="s">
        <v>29</v>
      </c>
      <c r="P81" s="56" t="s">
        <v>27</v>
      </c>
      <c r="Q81" s="56" t="s">
        <v>73</v>
      </c>
      <c r="R81" s="56" t="s">
        <v>28</v>
      </c>
      <c r="S81" s="56" t="s">
        <v>29</v>
      </c>
    </row>
    <row r="82" spans="1:19" ht="18.75" customHeight="1">
      <c r="A82" s="56" t="s">
        <v>188</v>
      </c>
      <c r="B82" s="56" t="s">
        <v>75</v>
      </c>
      <c r="C82" s="10">
        <f t="shared" ref="C82:D87" si="2">IF(ISBLANK(M82),H82,M82)</f>
        <v>8.4272399999999994</v>
      </c>
      <c r="D82" s="10">
        <f t="shared" si="2"/>
        <v>5.5921500000000002</v>
      </c>
      <c r="E82" s="8" t="s">
        <v>204</v>
      </c>
      <c r="F82" s="56" t="s">
        <v>188</v>
      </c>
      <c r="G82" s="56" t="s">
        <v>75</v>
      </c>
      <c r="H82" s="10">
        <f>MAX(C73*12000/d*0.85/54000, 0.0025*l_1c*12*d)</f>
        <v>6.6582661728395065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75</v>
      </c>
      <c r="M82" s="56">
        <f>R82*l_1c*12*d</f>
        <v>8.4272399999999994</v>
      </c>
      <c r="N82" s="56">
        <f>S82*l_1m*12*d</f>
        <v>5.5921500000000002</v>
      </c>
      <c r="P82" s="56" t="s">
        <v>188</v>
      </c>
      <c r="Q82" s="56" t="s">
        <v>75</v>
      </c>
      <c r="R82" s="61">
        <v>3.2399999999999998E-3</v>
      </c>
      <c r="S82" s="61">
        <v>2.15E-3</v>
      </c>
    </row>
    <row r="83" spans="1:19" ht="18.75" customHeight="1">
      <c r="A83" s="56" t="s">
        <v>188</v>
      </c>
      <c r="B83" s="56" t="s">
        <v>76</v>
      </c>
      <c r="C83" s="10">
        <f t="shared" si="2"/>
        <v>6.4310999999999998</v>
      </c>
      <c r="D83" s="10">
        <f t="shared" si="2"/>
        <v>5.1499800000000011</v>
      </c>
      <c r="E83" s="8" t="s">
        <v>204</v>
      </c>
      <c r="F83" s="56" t="s">
        <v>188</v>
      </c>
      <c r="G83" s="56" t="s">
        <v>76</v>
      </c>
      <c r="H83" s="10">
        <f>MAX(C74*12000/d_drop*0.85/54000, 0.0025*l_1c*12*d_drop)</f>
        <v>8.2874999999999996</v>
      </c>
      <c r="I83" s="10">
        <f>MAX(D74*12000/d*0.85/54000, 0.0025*l_1m*12*d)</f>
        <v>6.5025000000000004</v>
      </c>
      <c r="J83" s="8" t="s">
        <v>204</v>
      </c>
      <c r="K83" s="56" t="s">
        <v>188</v>
      </c>
      <c r="L83" s="56" t="s">
        <v>76</v>
      </c>
      <c r="M83" s="56">
        <f>R83*l_1c*12*d_drop</f>
        <v>6.4310999999999998</v>
      </c>
      <c r="N83" s="56">
        <f>S83*l_1m*12*d</f>
        <v>5.1499800000000011</v>
      </c>
      <c r="P83" s="56" t="s">
        <v>188</v>
      </c>
      <c r="Q83" s="56" t="s">
        <v>76</v>
      </c>
      <c r="R83" s="61">
        <v>1.9400000000000001E-3</v>
      </c>
      <c r="S83" s="61">
        <v>1.98E-3</v>
      </c>
    </row>
    <row r="84" spans="1:19" ht="18.75" customHeight="1">
      <c r="A84" s="56" t="s">
        <v>188</v>
      </c>
      <c r="B84" s="56" t="s">
        <v>77</v>
      </c>
      <c r="C84" s="10">
        <f t="shared" si="2"/>
        <v>11.138400000000001</v>
      </c>
      <c r="D84" s="10">
        <f t="shared" si="2"/>
        <v>5.1499800000000011</v>
      </c>
      <c r="E84" s="8" t="s">
        <v>204</v>
      </c>
      <c r="F84" s="56" t="s">
        <v>188</v>
      </c>
      <c r="G84" s="56" t="s">
        <v>77</v>
      </c>
      <c r="H84" s="10">
        <f>MAX(C75*12000/d_drop*0.85/54000, 0.0025*l_1c*12*d_drop)</f>
        <v>8.7906842592592565</v>
      </c>
      <c r="I84" s="10">
        <f>MAX(D75*12000/d*0.85/54000, 0.0025*l_1m*12*d)</f>
        <v>6.5025000000000004</v>
      </c>
      <c r="J84" s="8" t="s">
        <v>204</v>
      </c>
      <c r="K84" s="56" t="s">
        <v>188</v>
      </c>
      <c r="L84" s="56" t="s">
        <v>77</v>
      </c>
      <c r="M84" s="56">
        <f>R84*l_1c*12*d_drop</f>
        <v>11.138400000000001</v>
      </c>
      <c r="N84" s="56">
        <f>S84*l_1m*12*d</f>
        <v>5.1499800000000011</v>
      </c>
      <c r="P84" s="56" t="s">
        <v>188</v>
      </c>
      <c r="Q84" s="56" t="s">
        <v>77</v>
      </c>
      <c r="R84" s="61">
        <v>3.3600000000000001E-3</v>
      </c>
      <c r="S84" s="61">
        <v>1.98E-3</v>
      </c>
    </row>
    <row r="85" spans="1:19" ht="18.75" customHeight="1">
      <c r="A85" s="56" t="s">
        <v>189</v>
      </c>
      <c r="B85" s="56" t="s">
        <v>75</v>
      </c>
      <c r="C85" s="10">
        <f t="shared" si="2"/>
        <v>5.6441699999999999</v>
      </c>
      <c r="D85" s="10">
        <f t="shared" si="2"/>
        <v>5.1499800000000011</v>
      </c>
      <c r="E85" s="8" t="s">
        <v>204</v>
      </c>
      <c r="F85" s="56" t="s">
        <v>189</v>
      </c>
      <c r="G85" s="56" t="s">
        <v>75</v>
      </c>
      <c r="H85" s="10">
        <f>MAX(C76*12000/d*0.85/54000, 0.0025*l_2c*12*d)</f>
        <v>6.5025000000000004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75</v>
      </c>
      <c r="M85" s="56">
        <f>R85*l_2c*12*d</f>
        <v>5.6441699999999999</v>
      </c>
      <c r="N85" s="56">
        <f>S85*l_2m*12*d</f>
        <v>5.1499800000000011</v>
      </c>
      <c r="P85" s="56" t="s">
        <v>189</v>
      </c>
      <c r="Q85" s="56" t="s">
        <v>75</v>
      </c>
      <c r="R85" s="61">
        <v>2.1700000000000001E-3</v>
      </c>
      <c r="S85" s="61">
        <v>1.98E-3</v>
      </c>
    </row>
    <row r="86" spans="1:19" ht="18.75" customHeight="1">
      <c r="A86" s="56" t="s">
        <v>189</v>
      </c>
      <c r="B86" s="56" t="s">
        <v>76</v>
      </c>
      <c r="C86" s="10">
        <f t="shared" si="2"/>
        <v>10.342799999999999</v>
      </c>
      <c r="D86" s="10">
        <f t="shared" si="2"/>
        <v>5.1499800000000011</v>
      </c>
      <c r="E86" s="8" t="s">
        <v>204</v>
      </c>
      <c r="F86" s="56" t="s">
        <v>189</v>
      </c>
      <c r="G86" s="56" t="s">
        <v>76</v>
      </c>
      <c r="H86" s="10">
        <f>MAX(C77*12000/d_drop*0.85/54000, 0.0025*l_2c*12*d_drop)</f>
        <v>8.2874999999999996</v>
      </c>
      <c r="I86" s="10">
        <f>MAX(D77*12000/d*0.85/54000, 0.0025*l_2m*12*d)</f>
        <v>6.5025000000000004</v>
      </c>
      <c r="J86" s="8" t="s">
        <v>204</v>
      </c>
      <c r="K86" s="56" t="s">
        <v>189</v>
      </c>
      <c r="L86" s="56" t="s">
        <v>76</v>
      </c>
      <c r="M86" s="56">
        <f>R86*l_2c*12*d_drop</f>
        <v>10.342799999999999</v>
      </c>
      <c r="N86" s="56">
        <f>S86*l_2m*12*d</f>
        <v>5.1499800000000011</v>
      </c>
      <c r="P86" s="56" t="s">
        <v>189</v>
      </c>
      <c r="Q86" s="56" t="s">
        <v>76</v>
      </c>
      <c r="R86" s="61">
        <v>3.1199999999999999E-3</v>
      </c>
      <c r="S86" s="61">
        <v>1.98E-3</v>
      </c>
    </row>
    <row r="87" spans="1:19" ht="18.75" customHeight="1">
      <c r="A87" s="56" t="s">
        <v>189</v>
      </c>
      <c r="B87" s="56" t="s">
        <v>77</v>
      </c>
      <c r="C87" s="10">
        <f t="shared" si="2"/>
        <v>10.342799999999999</v>
      </c>
      <c r="D87" s="10">
        <f t="shared" si="2"/>
        <v>5.1499800000000011</v>
      </c>
      <c r="E87" s="8" t="s">
        <v>204</v>
      </c>
      <c r="F87" s="56" t="s">
        <v>189</v>
      </c>
      <c r="G87" s="56" t="s">
        <v>77</v>
      </c>
      <c r="H87" s="10">
        <f>MAX(C78*12000/d_drop*0.85/54000, 0.0025*l_2c*12*d_drop)</f>
        <v>8.2874999999999996</v>
      </c>
      <c r="I87" s="10">
        <f>MAX(D78*12000/d*0.85/54000, 0.0025*l_2m*12*d)</f>
        <v>6.5025000000000004</v>
      </c>
      <c r="J87" s="8" t="s">
        <v>204</v>
      </c>
      <c r="K87" s="56" t="s">
        <v>189</v>
      </c>
      <c r="L87" s="56" t="s">
        <v>77</v>
      </c>
      <c r="M87" s="56">
        <f>R87*l_2c*12*d_drop</f>
        <v>10.342799999999999</v>
      </c>
      <c r="N87" s="56">
        <f>S87*l_2m*12*d</f>
        <v>5.1499800000000011</v>
      </c>
      <c r="P87" s="56" t="s">
        <v>189</v>
      </c>
      <c r="Q87" s="56" t="s">
        <v>77</v>
      </c>
      <c r="R87" s="61">
        <v>3.1199999999999999E-3</v>
      </c>
      <c r="S87" s="61">
        <v>1.98E-3</v>
      </c>
    </row>
    <row r="89" spans="1:19" ht="18" customHeight="1">
      <c r="A89" s="21" t="s">
        <v>84</v>
      </c>
    </row>
    <row r="90" spans="1:19">
      <c r="A90" s="56" t="s">
        <v>27</v>
      </c>
      <c r="B90" s="56" t="s">
        <v>73</v>
      </c>
      <c r="C90" s="8" t="s">
        <v>28</v>
      </c>
      <c r="D90" s="8" t="s">
        <v>29</v>
      </c>
    </row>
    <row r="91" spans="1:19" ht="18.75" customHeight="1">
      <c r="A91" s="56" t="s">
        <v>188</v>
      </c>
      <c r="B91" s="56" t="s">
        <v>75</v>
      </c>
      <c r="C91" s="7">
        <f>1/12*l_1c*12*IF(ISBLANK(H12),h,H12)^3</f>
        <v>46648</v>
      </c>
      <c r="D91" s="7">
        <f>1/12*l_1m*12*IF(ISBLANK(H12),h,H12)^3</f>
        <v>46648</v>
      </c>
      <c r="E91" s="8" t="s">
        <v>205</v>
      </c>
    </row>
    <row r="92" spans="1:19" ht="18.75" customHeight="1">
      <c r="A92" s="56" t="s">
        <v>188</v>
      </c>
      <c r="B92" s="56" t="s">
        <v>76</v>
      </c>
      <c r="C92" s="7">
        <f>1/12*l_1c*12*IF(ISBLANK(K12),h,K12)^3</f>
        <v>91109.375</v>
      </c>
      <c r="D92" s="7">
        <f>1/12*l_1m*12*IF(ISBLANK(H12),h,H12)^3</f>
        <v>46648</v>
      </c>
      <c r="E92" s="8" t="s">
        <v>205</v>
      </c>
    </row>
    <row r="93" spans="1:19" ht="18.75" customHeight="1">
      <c r="A93" s="56" t="s">
        <v>188</v>
      </c>
      <c r="B93" s="56" t="s">
        <v>77</v>
      </c>
      <c r="C93" s="7">
        <f>1/12*l_1c*12*IF(ISBLANK(K12),h,K12)^3</f>
        <v>91109.375</v>
      </c>
      <c r="D93" s="7">
        <f>1/12*l_1m*12*IF(ISBLANK(H12),h,H12)^3</f>
        <v>46648</v>
      </c>
      <c r="E93" s="8" t="s">
        <v>205</v>
      </c>
    </row>
    <row r="94" spans="1:19" ht="18.75" customHeight="1">
      <c r="A94" s="56" t="s">
        <v>189</v>
      </c>
      <c r="B94" s="56" t="s">
        <v>75</v>
      </c>
      <c r="C94" s="7">
        <f>1/12*l_2c*12*IF(ISBLANK(H12),h,H12)^3</f>
        <v>46648</v>
      </c>
      <c r="D94" s="7">
        <f>1/12*l_2m*12*IF(ISBLANK(H12),h,H12)^3</f>
        <v>46648</v>
      </c>
      <c r="E94" s="8" t="s">
        <v>205</v>
      </c>
    </row>
    <row r="95" spans="1:19" ht="18.75" customHeight="1">
      <c r="A95" s="56" t="s">
        <v>189</v>
      </c>
      <c r="B95" s="56" t="s">
        <v>76</v>
      </c>
      <c r="C95" s="7">
        <f>1/12*l_2c*12*IF(ISBLANK(K12),h,K12)^3</f>
        <v>91109.375</v>
      </c>
      <c r="D95" s="7">
        <f>1/12*l_2m*12*IF(ISBLANK(H12),h,H12)^3</f>
        <v>46648</v>
      </c>
      <c r="E95" s="8" t="s">
        <v>205</v>
      </c>
    </row>
    <row r="96" spans="1:19" ht="18.75" customHeight="1">
      <c r="A96" s="56" t="s">
        <v>189</v>
      </c>
      <c r="B96" s="56" t="s">
        <v>77</v>
      </c>
      <c r="C96" s="7">
        <f>1/12*l_2c*12*IF(ISBLANK(K12),h,K12)^3</f>
        <v>91109.375</v>
      </c>
      <c r="D96" s="7">
        <f>1/12*l_2m*12*IF(ISBLANK(H12),h,H12)^3</f>
        <v>46648</v>
      </c>
      <c r="E96" s="8" t="s">
        <v>205</v>
      </c>
    </row>
    <row r="97" spans="1:17" ht="18.75" customHeight="1">
      <c r="A97" s="56"/>
      <c r="B97" s="56"/>
      <c r="C97" s="7"/>
      <c r="D97" s="7"/>
    </row>
    <row r="98" spans="1:17" ht="18.75" customHeight="1">
      <c r="A98" s="21" t="s">
        <v>224</v>
      </c>
      <c r="B98" s="56"/>
      <c r="C98" s="7"/>
      <c r="D98" s="7"/>
    </row>
    <row r="99" spans="1:17" ht="18.75" customHeight="1">
      <c r="A99" s="56"/>
      <c r="B99" s="56" t="s">
        <v>28</v>
      </c>
      <c r="C99" s="8" t="s">
        <v>29</v>
      </c>
      <c r="D99" s="7"/>
    </row>
    <row r="100" spans="1:17" ht="18.75" customHeight="1">
      <c r="A100" s="56" t="s">
        <v>30</v>
      </c>
      <c r="B100" s="6">
        <f>0.7*C91+0.15*(C92+C93)</f>
        <v>59986.412499999999</v>
      </c>
      <c r="C100" s="8">
        <f>0.7*D91+0.15*(D92+D93)</f>
        <v>46648</v>
      </c>
      <c r="D100" s="7"/>
    </row>
    <row r="101" spans="1:17" ht="15.75" customHeight="1" thickBot="1">
      <c r="A101" s="56" t="s">
        <v>32</v>
      </c>
      <c r="B101" s="6">
        <f>0.7*C94+0.15*(C95+C96)</f>
        <v>59986.412499999999</v>
      </c>
      <c r="C101" s="8">
        <f>0.7*D94+0.15*(D95+D96)</f>
        <v>46648</v>
      </c>
    </row>
    <row r="102" spans="1:17">
      <c r="F102" s="38" t="s">
        <v>28</v>
      </c>
      <c r="G102" s="39" t="s">
        <v>29</v>
      </c>
      <c r="H102" s="39" t="s">
        <v>28</v>
      </c>
      <c r="I102" s="39" t="s">
        <v>29</v>
      </c>
      <c r="J102" s="39" t="s">
        <v>28</v>
      </c>
      <c r="K102" s="39" t="s">
        <v>29</v>
      </c>
      <c r="L102" s="39" t="s">
        <v>28</v>
      </c>
      <c r="M102" s="39" t="s">
        <v>29</v>
      </c>
      <c r="N102" s="39" t="s">
        <v>28</v>
      </c>
      <c r="O102" s="39" t="s">
        <v>29</v>
      </c>
      <c r="P102" s="39" t="s">
        <v>28</v>
      </c>
      <c r="Q102" s="40" t="s">
        <v>29</v>
      </c>
    </row>
    <row r="103" spans="1:17" ht="18" customHeight="1">
      <c r="A103" s="21" t="s">
        <v>86</v>
      </c>
      <c r="F103" s="41" t="s">
        <v>87</v>
      </c>
      <c r="G103" s="42" t="s">
        <v>87</v>
      </c>
      <c r="H103" s="42" t="s">
        <v>88</v>
      </c>
      <c r="I103" s="42" t="s">
        <v>88</v>
      </c>
      <c r="J103" s="42" t="s">
        <v>89</v>
      </c>
      <c r="K103" s="42" t="s">
        <v>89</v>
      </c>
      <c r="L103" s="42" t="s">
        <v>90</v>
      </c>
      <c r="M103" s="42" t="s">
        <v>90</v>
      </c>
      <c r="N103" s="42" t="s">
        <v>91</v>
      </c>
      <c r="O103" s="42" t="s">
        <v>91</v>
      </c>
      <c r="P103" s="43" t="s">
        <v>92</v>
      </c>
      <c r="Q103" s="44" t="s">
        <v>92</v>
      </c>
    </row>
    <row r="104" spans="1:17" ht="18" customHeight="1" thickBot="1">
      <c r="A104" s="56" t="s">
        <v>27</v>
      </c>
      <c r="B104" s="56" t="s">
        <v>73</v>
      </c>
      <c r="C104" s="56" t="s">
        <v>28</v>
      </c>
      <c r="D104" s="56" t="s">
        <v>29</v>
      </c>
      <c r="F104" s="15" t="s">
        <v>204</v>
      </c>
      <c r="G104" s="15" t="s">
        <v>204</v>
      </c>
      <c r="H104" s="16" t="s">
        <v>10</v>
      </c>
      <c r="I104" s="16" t="s">
        <v>10</v>
      </c>
      <c r="J104" s="16" t="s">
        <v>205</v>
      </c>
      <c r="K104" s="16" t="s">
        <v>205</v>
      </c>
      <c r="L104" s="16" t="s">
        <v>53</v>
      </c>
      <c r="M104" s="16" t="s">
        <v>53</v>
      </c>
      <c r="N104" s="16"/>
      <c r="O104" s="16"/>
      <c r="P104" s="26"/>
      <c r="Q104" s="29"/>
    </row>
    <row r="105" spans="1:17" ht="18.75" customHeight="1">
      <c r="A105" s="56" t="s">
        <v>188</v>
      </c>
      <c r="B105" s="56" t="s">
        <v>75</v>
      </c>
      <c r="C105" s="7">
        <f t="shared" ref="C105:D110" si="3">IF(N105&lt;1, J105/(1-N105^2*(1-J105/C91)), C91)</f>
        <v>7874.8617574285854</v>
      </c>
      <c r="D105" s="7">
        <f t="shared" si="3"/>
        <v>9413.6407212070608</v>
      </c>
      <c r="E105" s="8" t="s">
        <v>205</v>
      </c>
      <c r="F105" s="30">
        <f>l_1c*12/(n*C82)</f>
        <v>4.2940182292669924</v>
      </c>
      <c r="G105" s="24">
        <f>l_1m*12/(n*D82)</f>
        <v>6.470985610616304</v>
      </c>
      <c r="H105" s="24">
        <f t="shared" ref="H105:I110" si="4">(SQRT(2*d*F105+1) - 1)/F105</f>
        <v>2.2151227422204598</v>
      </c>
      <c r="I105" s="24">
        <f t="shared" si="4"/>
        <v>1.8365814228723776</v>
      </c>
      <c r="J105" s="25">
        <f>MIN(l_1c * 12*H105^3/3+n*C82*(d-H105)^2,C91)</f>
        <v>6011.7035437637205</v>
      </c>
      <c r="K105" s="25">
        <f>MIN(l_1m * 12*I105^3/3+n*D82*(d-I105)^2,D91)</f>
        <v>4176.0024486993134</v>
      </c>
      <c r="L105" s="23">
        <f>f_r*C91/y_t* 1 / 12000</f>
        <v>176.70598461851824</v>
      </c>
      <c r="M105" s="25">
        <f t="shared" ref="M105:M110" si="5">f_r*D91/y_t * 1 / 12000</f>
        <v>176.70598461851824</v>
      </c>
      <c r="N105" s="24">
        <f t="shared" ref="N105:O107" si="6">IF((D57+D60)=0, 1.1, L105/(D57+D60))</f>
        <v>0.52115013266026999</v>
      </c>
      <c r="O105" s="24">
        <f t="shared" si="6"/>
        <v>0.78172519899040482</v>
      </c>
      <c r="P105" s="24">
        <f>C82/(l_1c*d)</f>
        <v>3.8879999999999998E-2</v>
      </c>
      <c r="Q105" s="31">
        <f>D82/(l_1m*d)</f>
        <v>2.58E-2</v>
      </c>
    </row>
    <row r="106" spans="1:17" ht="18.75" customHeight="1">
      <c r="A106" s="56" t="s">
        <v>188</v>
      </c>
      <c r="B106" s="56" t="s">
        <v>76</v>
      </c>
      <c r="C106" s="7">
        <f t="shared" si="3"/>
        <v>61684.775215579633</v>
      </c>
      <c r="D106" s="7">
        <f t="shared" si="3"/>
        <v>46648</v>
      </c>
      <c r="E106" s="8" t="s">
        <v>205</v>
      </c>
      <c r="F106" s="32">
        <f>l_1c*12/(n*C83)</f>
        <v>5.6268324520545425</v>
      </c>
      <c r="G106" s="22">
        <f>l_1m*12/(n*D83)</f>
        <v>7.0265752842550766</v>
      </c>
      <c r="H106" s="22">
        <f>(SQRT(2*d_drop*F106+1) - 1)/F106</f>
        <v>2.2321515926606925</v>
      </c>
      <c r="I106" s="22">
        <f t="shared" si="4"/>
        <v>1.7680060470309131</v>
      </c>
      <c r="J106" s="23">
        <f>MIN(l_1c * 12*H106^3/3+n*C83*(d_drop-H106)^2,C92)</f>
        <v>7880.3572681584319</v>
      </c>
      <c r="K106" s="23">
        <f>MIN(l_1m * 12*I106^3/3+n*D83*(d-I106)^2,D92)</f>
        <v>3877.2604594364684</v>
      </c>
      <c r="L106" s="23">
        <f>f_r*C92/y_tdrop * 1 / 12000</f>
        <v>276.10310096643474</v>
      </c>
      <c r="M106" s="23">
        <f t="shared" si="5"/>
        <v>176.70598461851824</v>
      </c>
      <c r="N106" s="22">
        <f t="shared" si="6"/>
        <v>0.97715649873800592</v>
      </c>
      <c r="O106" s="22">
        <f t="shared" si="6"/>
        <v>1.1000000000000001</v>
      </c>
      <c r="P106" s="22">
        <f>C83/(l_1c*d)</f>
        <v>2.9670588235294115E-2</v>
      </c>
      <c r="Q106" s="33">
        <f>D83/(l_1m*d)</f>
        <v>2.3760000000000007E-2</v>
      </c>
    </row>
    <row r="107" spans="1:17" ht="18.75" customHeight="1">
      <c r="A107" s="56" t="s">
        <v>188</v>
      </c>
      <c r="B107" s="56" t="s">
        <v>77</v>
      </c>
      <c r="C107" s="7">
        <f t="shared" si="3"/>
        <v>16084.270712410156</v>
      </c>
      <c r="D107" s="7">
        <f t="shared" si="3"/>
        <v>18599.486494407964</v>
      </c>
      <c r="E107" s="8" t="s">
        <v>205</v>
      </c>
      <c r="F107" s="32">
        <f>l_1c*12/(n*C84)</f>
        <v>3.2488258800553012</v>
      </c>
      <c r="G107" s="22">
        <f>l_1m*12/(n*D84)</f>
        <v>7.0265752842550766</v>
      </c>
      <c r="H107" s="22">
        <f>(SQRT(2*d_drop*F107+1) - 1)/F107</f>
        <v>2.8699877039560753</v>
      </c>
      <c r="I107" s="22">
        <f t="shared" si="4"/>
        <v>1.7680060470309131</v>
      </c>
      <c r="J107" s="23">
        <f>MIN(l_1c * 12*H107^3/3+n*C84*(d_drop-H107)^2,C93)</f>
        <v>12848.798393720628</v>
      </c>
      <c r="K107" s="23">
        <f>MIN(l_1m * 12*I107^3/3+n*D84*(d-I107)^2,D93)</f>
        <v>3877.2604594364684</v>
      </c>
      <c r="L107" s="23">
        <f>f_r*C93/y_tdrop * 1 / 12000</f>
        <v>276.10310096643474</v>
      </c>
      <c r="M107" s="23">
        <f t="shared" si="5"/>
        <v>176.70598461851824</v>
      </c>
      <c r="N107" s="22">
        <f t="shared" si="6"/>
        <v>0.48392512318453645</v>
      </c>
      <c r="O107" s="22">
        <f t="shared" si="6"/>
        <v>0.92913623651430988</v>
      </c>
      <c r="P107" s="22">
        <f>C84/(l_1c*d)</f>
        <v>5.1388235294117651E-2</v>
      </c>
      <c r="Q107" s="33">
        <f>D84/(l_1m*d)</f>
        <v>2.3760000000000007E-2</v>
      </c>
    </row>
    <row r="108" spans="1:17" ht="18.75" customHeight="1">
      <c r="A108" s="56" t="s">
        <v>189</v>
      </c>
      <c r="B108" s="56" t="s">
        <v>75</v>
      </c>
      <c r="C108" s="7">
        <f t="shared" si="3"/>
        <v>9262.7209415245434</v>
      </c>
      <c r="D108" s="7">
        <f t="shared" si="3"/>
        <v>46648</v>
      </c>
      <c r="E108" s="8" t="s">
        <v>205</v>
      </c>
      <c r="F108" s="32">
        <f>l_2c*12/(n*C85)</f>
        <v>6.4113451902419616</v>
      </c>
      <c r="G108" s="22">
        <f>l_2m*12/(n*D85)</f>
        <v>7.0265752842550766</v>
      </c>
      <c r="H108" s="22">
        <f t="shared" si="4"/>
        <v>1.8444394963833231</v>
      </c>
      <c r="I108" s="22">
        <f t="shared" si="4"/>
        <v>1.7680060470309131</v>
      </c>
      <c r="J108" s="23">
        <f>MIN(l_2c * 12*H108^3/3+n*C85*(d-H108)^2,C94)</f>
        <v>4210.9052164947361</v>
      </c>
      <c r="K108" s="23">
        <f>MIN(l_2m * 12*I108^3/3+n*D85*(d-I108)^2,D94)</f>
        <v>3877.2604594364684</v>
      </c>
      <c r="L108" s="23">
        <f>f_r*C94/y_t * 1 / 12000</f>
        <v>176.70598461851824</v>
      </c>
      <c r="M108" s="23">
        <f t="shared" si="5"/>
        <v>176.70598461851824</v>
      </c>
      <c r="N108" s="22">
        <f t="shared" ref="N108:O110" si="7">IF((D63+D66)=0, 1.1, L108/(D63+D66))</f>
        <v>0.7742801970952583</v>
      </c>
      <c r="O108" s="22">
        <f t="shared" si="7"/>
        <v>1.1614202956428874</v>
      </c>
      <c r="P108" s="22">
        <f>C85/(l_2c*d)</f>
        <v>2.6040000000000001E-2</v>
      </c>
      <c r="Q108" s="33">
        <f>D85/(l_2m*d)</f>
        <v>2.3760000000000007E-2</v>
      </c>
    </row>
    <row r="109" spans="1:17" ht="18.75" customHeight="1">
      <c r="A109" s="56" t="s">
        <v>189</v>
      </c>
      <c r="B109" s="56" t="s">
        <v>76</v>
      </c>
      <c r="C109" s="7">
        <f t="shared" si="3"/>
        <v>15753.350109341574</v>
      </c>
      <c r="D109" s="7">
        <f t="shared" si="3"/>
        <v>46648</v>
      </c>
      <c r="E109" s="8" t="s">
        <v>205</v>
      </c>
      <c r="F109" s="32">
        <f>l_2c*12/(n*C86)</f>
        <v>3.4987355631364792</v>
      </c>
      <c r="G109" s="22">
        <f>l_2m*12/(n*D86)</f>
        <v>7.0265752842550766</v>
      </c>
      <c r="H109" s="22">
        <f>(SQRT(2*d_drop*F109+1) - 1)/F109</f>
        <v>2.7753524617466026</v>
      </c>
      <c r="I109" s="22">
        <f t="shared" si="4"/>
        <v>1.7680060470309131</v>
      </c>
      <c r="J109" s="23">
        <f>MIN(l_2c * 12*H109^3/3+n*C86*(d_drop-H109)^2,C95)</f>
        <v>12040.197633234948</v>
      </c>
      <c r="K109" s="23">
        <f>MIN(l_2m * 12*I109^3/3+n*D86*(d-I109)^2,D95)</f>
        <v>3877.2604594364684</v>
      </c>
      <c r="L109" s="23">
        <f>f_r*C95/y_tdrop * 1 / 12000</f>
        <v>276.10310096643474</v>
      </c>
      <c r="M109" s="23">
        <f t="shared" si="5"/>
        <v>176.70598461851824</v>
      </c>
      <c r="N109" s="22">
        <f t="shared" si="7"/>
        <v>0.52115013266026988</v>
      </c>
      <c r="O109" s="22">
        <f t="shared" si="7"/>
        <v>1.0006082547077182</v>
      </c>
      <c r="P109" s="22">
        <f>C86/(l_2c*d)</f>
        <v>4.7717647058823524E-2</v>
      </c>
      <c r="Q109" s="33">
        <f>D86/(l_2m*d)</f>
        <v>2.3760000000000007E-2</v>
      </c>
    </row>
    <row r="110" spans="1:17" ht="19.5" customHeight="1" thickBot="1">
      <c r="A110" s="56" t="s">
        <v>189</v>
      </c>
      <c r="B110" s="56" t="s">
        <v>77</v>
      </c>
      <c r="C110" s="7">
        <f t="shared" si="3"/>
        <v>15753.350109341574</v>
      </c>
      <c r="D110" s="7">
        <f t="shared" si="3"/>
        <v>46648</v>
      </c>
      <c r="E110" s="8" t="s">
        <v>205</v>
      </c>
      <c r="F110" s="34">
        <f>l_2c*12/(n*C87)</f>
        <v>3.4987355631364792</v>
      </c>
      <c r="G110" s="35">
        <f>l_2m*12/(n*D87)</f>
        <v>7.0265752842550766</v>
      </c>
      <c r="H110" s="35">
        <f>(SQRT(2*d_drop*F110+1) - 1)/F110</f>
        <v>2.7753524617466026</v>
      </c>
      <c r="I110" s="35">
        <f t="shared" si="4"/>
        <v>1.7680060470309131</v>
      </c>
      <c r="J110" s="36">
        <f>MIN(l_2c * 12*H110^3/3+n*C87*(d_drop-H110)^2,C96)</f>
        <v>12040.197633234948</v>
      </c>
      <c r="K110" s="36">
        <f>MIN(l_2m * 12*I110^3/3+n*D87*(d-I110)^2,D96)</f>
        <v>3877.2604594364684</v>
      </c>
      <c r="L110" s="36">
        <f>f_r*C96/y_tdrop * 1 / 12000</f>
        <v>276.10310096643474</v>
      </c>
      <c r="M110" s="36">
        <f t="shared" si="5"/>
        <v>176.70598461851824</v>
      </c>
      <c r="N110" s="35">
        <f t="shared" si="7"/>
        <v>0.52115013266026988</v>
      </c>
      <c r="O110" s="35">
        <f t="shared" si="7"/>
        <v>1.0006082547077182</v>
      </c>
      <c r="P110" s="35">
        <f>C87/(l_2c*d)</f>
        <v>4.7717647058823524E-2</v>
      </c>
      <c r="Q110" s="37">
        <f>D87/(l_2m*d)</f>
        <v>2.3760000000000007E-2</v>
      </c>
    </row>
    <row r="112" spans="1:17" ht="18" customHeight="1">
      <c r="A112" s="21" t="s">
        <v>206</v>
      </c>
    </row>
    <row r="113" spans="1:5">
      <c r="A113" s="56" t="s">
        <v>27</v>
      </c>
      <c r="B113" s="56" t="s">
        <v>28</v>
      </c>
      <c r="C113" s="8" t="s">
        <v>29</v>
      </c>
    </row>
    <row r="114" spans="1:5" ht="18.75" customHeight="1">
      <c r="A114" s="56" t="s">
        <v>188</v>
      </c>
      <c r="B114" s="7">
        <f>0.7*C105+ 0.15*SUM(C106:C107)</f>
        <v>17177.760119398477</v>
      </c>
      <c r="C114" s="7">
        <f>0.7*D105+ 0.15*SUM(D106:D107)</f>
        <v>16376.671479006134</v>
      </c>
      <c r="D114" s="8" t="s">
        <v>205</v>
      </c>
    </row>
    <row r="115" spans="1:5" ht="18.75" customHeight="1">
      <c r="A115" s="56" t="s">
        <v>189</v>
      </c>
      <c r="B115" s="7">
        <f>0.7*C108+ 0.15*SUM(C109:C110)</f>
        <v>11209.909691869652</v>
      </c>
      <c r="C115" s="7">
        <f>0.7*D108+ 0.15*SUM(D109:D110)</f>
        <v>46648</v>
      </c>
      <c r="D115" s="8" t="s">
        <v>205</v>
      </c>
    </row>
    <row r="116" spans="1:5">
      <c r="A116" s="56"/>
      <c r="B116" s="56"/>
    </row>
    <row r="117" spans="1:5" ht="18" customHeight="1">
      <c r="A117" s="21" t="s">
        <v>207</v>
      </c>
      <c r="B117" s="56"/>
    </row>
    <row r="118" spans="1:5" ht="18.75" customHeight="1">
      <c r="A118" s="3" t="s">
        <v>209</v>
      </c>
      <c r="B118" s="7">
        <f>(B114+C114+B115+C115)/2</f>
        <v>45706.170645137128</v>
      </c>
      <c r="C118" s="8" t="s">
        <v>205</v>
      </c>
    </row>
    <row r="119" spans="1:5">
      <c r="A119" s="56"/>
      <c r="B119" s="56"/>
    </row>
    <row r="120" spans="1:5" ht="18" customHeight="1">
      <c r="A120" s="21" t="s">
        <v>208</v>
      </c>
    </row>
    <row r="121" spans="1:5" ht="18.75" customHeight="1">
      <c r="A121" s="3" t="s">
        <v>210</v>
      </c>
      <c r="B121" s="7">
        <f>(B100+B101+C100+C101) / 2</f>
        <v>106634.41250000001</v>
      </c>
      <c r="C121" s="8" t="s">
        <v>205</v>
      </c>
    </row>
    <row r="123" spans="1:5" ht="18" customHeight="1">
      <c r="A123" s="52" t="s">
        <v>211</v>
      </c>
    </row>
    <row r="124" spans="1:5" ht="18" customHeight="1">
      <c r="A124" s="3" t="s">
        <v>212</v>
      </c>
      <c r="B124" s="10">
        <f>B118/B121</f>
        <v>0.42862495861865535</v>
      </c>
    </row>
    <row r="126" spans="1:5" ht="19.5" customHeight="1" thickBot="1">
      <c r="A126" s="52" t="s">
        <v>100</v>
      </c>
      <c r="D126" s="52" t="s">
        <v>215</v>
      </c>
    </row>
    <row r="127" spans="1:5" ht="18" customHeight="1">
      <c r="A127" s="3" t="s">
        <v>213</v>
      </c>
      <c r="B127" s="8">
        <f>IF(MAX(c_1, c_2)&gt;24, 2.1, 1.9)</f>
        <v>2.1</v>
      </c>
      <c r="D127" s="27">
        <v>1</v>
      </c>
      <c r="E127" s="28">
        <v>7.12</v>
      </c>
    </row>
    <row r="128" spans="1:5" ht="18.75" customHeight="1">
      <c r="A128" s="11" t="s">
        <v>214</v>
      </c>
      <c r="B128" s="4">
        <f>IF(B5=1,E127,
IF(AND(B5&gt;1,B5&lt;1.5),E127+(E128-E127)/(D128-D127)*(B5-D127),
IF(B5=1.5,E128,
IF(AND(B5&gt;1.5, B5&lt;2), E128+(E129-E128)/(D129-D128)*(B5-D128), E129)
)))</f>
        <v>7.12</v>
      </c>
      <c r="D128" s="13">
        <v>1.5</v>
      </c>
      <c r="E128" s="14">
        <v>8.92</v>
      </c>
    </row>
    <row r="129" spans="1:5" ht="18" customHeight="1" thickBot="1">
      <c r="A129" s="11" t="s">
        <v>104</v>
      </c>
      <c r="B129" s="4">
        <f>(R12 / 12 * w_c +SDL+LLvib)/32.2</f>
        <v>6.2292960662525889</v>
      </c>
      <c r="C129" s="8" t="s">
        <v>105</v>
      </c>
      <c r="D129" s="15">
        <v>2</v>
      </c>
      <c r="E129" s="17">
        <v>9.2899999999999991</v>
      </c>
    </row>
    <row r="130" spans="1:5" ht="18" customHeight="1">
      <c r="A130" s="3" t="s">
        <v>106</v>
      </c>
      <c r="B130" s="4">
        <f>k_2*lambda_i_sq / (2 * PI() * l_1^2) * SQRT(k_1 * E_c*144*(R12/12)^3 / (12*gamma*(1-nu^2)))</f>
        <v>6.1525863330777328</v>
      </c>
      <c r="C130" s="8" t="s">
        <v>107</v>
      </c>
    </row>
    <row r="132" spans="1:5">
      <c r="A132" s="21" t="s">
        <v>108</v>
      </c>
    </row>
    <row r="133" spans="1:5">
      <c r="A133" s="3" t="s">
        <v>109</v>
      </c>
      <c r="B133" s="6">
        <f>gamma*32.2*l_1*l_2</f>
        <v>231874.33333333337</v>
      </c>
      <c r="C133" s="8" t="s">
        <v>110</v>
      </c>
    </row>
    <row r="134" spans="1:5">
      <c r="A134" s="11" t="s">
        <v>216</v>
      </c>
      <c r="B134" s="8">
        <v>0.04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workbookViewId="0">
      <selection activeCell="K24" sqref="K24"/>
    </sheetView>
  </sheetViews>
  <sheetFormatPr defaultColWidth="8.85546875" defaultRowHeight="15"/>
  <cols>
    <col min="1" max="1" width="13.140625" style="8" customWidth="1"/>
    <col min="10" max="10" width="12.140625" style="8" bestFit="1" customWidth="1"/>
    <col min="11" max="11" width="10.140625" style="8" bestFit="1" customWidth="1"/>
    <col min="12" max="12" width="12.7109375" bestFit="1" customWidth="1"/>
  </cols>
  <sheetData>
    <row r="1" spans="1:15">
      <c r="A1" s="52" t="s">
        <v>145</v>
      </c>
      <c r="I1" s="8" t="s">
        <v>167</v>
      </c>
    </row>
    <row r="2" spans="1:15">
      <c r="I2" s="8"/>
    </row>
    <row r="3" spans="1:15" ht="18" customHeight="1">
      <c r="A3" s="3" t="s">
        <v>146</v>
      </c>
      <c r="B3" s="62">
        <v>6.1525863330777328</v>
      </c>
      <c r="C3" t="s">
        <v>107</v>
      </c>
      <c r="I3" s="8" t="s">
        <v>170</v>
      </c>
    </row>
    <row r="4" spans="1:15">
      <c r="A4" s="3" t="s">
        <v>109</v>
      </c>
      <c r="B4" s="6">
        <v>231874.33333333337</v>
      </c>
      <c r="C4" t="s">
        <v>110</v>
      </c>
      <c r="I4" s="8"/>
    </row>
    <row r="5" spans="1:15">
      <c r="A5" s="11" t="s">
        <v>216</v>
      </c>
      <c r="B5" s="61">
        <v>0.04</v>
      </c>
    </row>
    <row r="6" spans="1:15">
      <c r="A6" s="11"/>
    </row>
    <row r="7" spans="1:15">
      <c r="A7" s="52" t="s">
        <v>147</v>
      </c>
      <c r="H7" s="56" t="s">
        <v>148</v>
      </c>
      <c r="I7" s="56" t="s">
        <v>149</v>
      </c>
      <c r="L7" s="56" t="s">
        <v>150</v>
      </c>
      <c r="M7" s="8"/>
    </row>
    <row r="8" spans="1:15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  <c r="M8" s="8"/>
    </row>
    <row r="9" spans="1:15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>
      <c r="A10" s="56" t="s">
        <v>129</v>
      </c>
      <c r="B10" s="10">
        <f>$B$3</f>
        <v>6.1525863330777328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1250.0488089213661</v>
      </c>
      <c r="J10" s="7" t="s">
        <v>172</v>
      </c>
      <c r="K10" s="7">
        <f>250000000/($B$4*$B$5)*($C10^2.43/$B10^1.8)*(1-EXP(-2*PI()*$B$5*$B10/$C10))</f>
        <v>1250.0488089213661</v>
      </c>
      <c r="L10" s="7" t="s">
        <v>172</v>
      </c>
      <c r="M10" s="60">
        <f>I10</f>
        <v>1250.0488089213661</v>
      </c>
      <c r="N10" t="s">
        <v>143</v>
      </c>
    </row>
    <row r="11" spans="1:15">
      <c r="A11" s="56" t="s">
        <v>130</v>
      </c>
      <c r="B11" s="10">
        <f>$B$3</f>
        <v>6.1525863330777328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4111.4318077208081</v>
      </c>
      <c r="I11" s="7">
        <f t="shared" ref="I11:I13" si="0">250000000/($B$4*$B$5)*($C11^2.43/$B11^1.8)*(1-EXP(-2*PI()*$B$5*$B11/$C11))</f>
        <v>1988.0325851756511</v>
      </c>
      <c r="J11" s="7">
        <f>175000000/($B$4*$B$5*SQRT($E11))*(EXP(-$G11*$E11))</f>
        <v>4227.3972905073051</v>
      </c>
      <c r="K11" s="7">
        <f>250000000/($B$4*$B$5)*($C11^2.43/$F11^1.8)*(1-EXP(-2*PI()*$B$5*$F11/$C11))</f>
        <v>1430.935514651278</v>
      </c>
      <c r="L11" s="7">
        <f>IF(AND($B11&gt;$E11,$B11&lt;$F11),$J11 + ($B11-$E11) * ($K11-$J11)/($F11-$E11), "N/A")</f>
        <v>4014.0463665223469</v>
      </c>
      <c r="M11" s="60">
        <f>IF($B11&gt;=F11,I11, IF($B11&lt;=E11,H11,L11))</f>
        <v>4014.0463665223469</v>
      </c>
      <c r="N11" t="s">
        <v>143</v>
      </c>
      <c r="O11" t="s">
        <v>162</v>
      </c>
    </row>
    <row r="12" spans="1:15">
      <c r="A12" s="56" t="s">
        <v>131</v>
      </c>
      <c r="B12" s="10">
        <f>$B$3</f>
        <v>6.1525863330777328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4372.3350504141772</v>
      </c>
      <c r="I12" s="7">
        <f t="shared" si="0"/>
        <v>2586.6911926190824</v>
      </c>
      <c r="J12" s="7">
        <f>175000000/($B$4*$B$5*SQRT($E12))*(EXP(-$G12*$E12))</f>
        <v>3798.13883321924</v>
      </c>
      <c r="K12" s="7">
        <f>250000000/($B$4*$B$5)*($C12^2.43/$F12^1.8)*(1-EXP(-2*PI()*$B$5*$F12/$C12))</f>
        <v>1624.6168821294075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4372.3350504141772</v>
      </c>
      <c r="N12" t="s">
        <v>143</v>
      </c>
    </row>
    <row r="13" spans="1:15">
      <c r="A13" s="56" t="s">
        <v>132</v>
      </c>
      <c r="B13" s="10">
        <f>$B$3</f>
        <v>6.1525863330777328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4649.7946912752313</v>
      </c>
      <c r="I13" s="7">
        <f t="shared" si="0"/>
        <v>3237.9331287002856</v>
      </c>
      <c r="J13" s="7">
        <f>175000000/($B$4*$B$5*SQRT($E13))*(EXP(-$G13*$E13))</f>
        <v>3517.4822707898952</v>
      </c>
      <c r="K13" s="7">
        <f>250000000/($B$4*$B$5)*($C13^2.43/$F13^1.8)*(1-EXP(-2*PI()*$B$5*$F13/$C13))</f>
        <v>1808.7386611958</v>
      </c>
      <c r="L13" s="7" t="str">
        <f t="shared" si="1"/>
        <v>N/A</v>
      </c>
      <c r="M13" s="60">
        <f>IF($B13&gt;=F13,I13, IF($B13&lt;=E13,H13,L13))</f>
        <v>4649.7946912752313</v>
      </c>
      <c r="N13" t="s">
        <v>143</v>
      </c>
    </row>
    <row r="14" spans="1:15">
      <c r="M14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5" sqref="H25"/>
    </sheetView>
  </sheetViews>
  <sheetFormatPr defaultColWidth="8.8554687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2"/>
  <sheetViews>
    <sheetView workbookViewId="0">
      <selection activeCell="K8" sqref="K8"/>
    </sheetView>
  </sheetViews>
  <sheetFormatPr defaultColWidth="8.85546875" defaultRowHeight="15"/>
  <cols>
    <col min="1" max="1" width="7.42578125" style="8" bestFit="1" customWidth="1"/>
    <col min="28" max="28" width="13.85546875" style="8" bestFit="1" customWidth="1"/>
    <col min="32" max="32" width="9.85546875" style="8" bestFit="1" customWidth="1"/>
  </cols>
  <sheetData>
    <row r="1" spans="1:35" ht="18" customHeight="1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/>
      <c r="B3" s="59"/>
      <c r="C3" s="59"/>
      <c r="D3" s="56"/>
      <c r="E3" s="56"/>
      <c r="F3" s="59"/>
      <c r="G3" s="59"/>
      <c r="H3" s="56"/>
      <c r="I3" s="59"/>
      <c r="J3" s="59"/>
      <c r="K3" s="59"/>
      <c r="L3" s="59"/>
      <c r="M3" s="59"/>
      <c r="N3" s="59"/>
      <c r="O3" s="59"/>
      <c r="S3" s="56"/>
      <c r="T3" s="56"/>
      <c r="U3" s="56"/>
      <c r="V3" s="56"/>
      <c r="W3" s="56"/>
      <c r="X3" s="56"/>
      <c r="Y3" s="56"/>
      <c r="Z3" s="56"/>
      <c r="AA3" s="56"/>
      <c r="AB3" s="10"/>
      <c r="AC3" s="56"/>
      <c r="AD3" s="56"/>
      <c r="AE3" s="56"/>
      <c r="AF3" s="56"/>
      <c r="AG3" s="56"/>
      <c r="AH3" s="56"/>
      <c r="AI3" s="56"/>
    </row>
    <row r="4" spans="1:35">
      <c r="A4"/>
      <c r="B4" s="59"/>
      <c r="C4" s="59"/>
      <c r="D4" s="56"/>
      <c r="E4" s="56"/>
      <c r="F4" s="59"/>
      <c r="G4" s="59"/>
      <c r="H4" s="56"/>
      <c r="I4" s="59"/>
      <c r="J4" s="59"/>
      <c r="K4" s="59"/>
      <c r="L4" s="59"/>
      <c r="M4" s="59"/>
      <c r="N4" s="59"/>
      <c r="O4" s="59"/>
      <c r="S4" s="56"/>
      <c r="T4" s="56"/>
      <c r="U4" s="56"/>
      <c r="V4" s="56"/>
      <c r="W4" s="56"/>
      <c r="X4" s="56"/>
      <c r="Y4" s="56"/>
      <c r="Z4" s="56"/>
      <c r="AA4" s="56"/>
      <c r="AB4" s="10"/>
      <c r="AC4" s="56"/>
      <c r="AD4" s="56"/>
      <c r="AE4" s="56"/>
      <c r="AF4" s="56"/>
      <c r="AG4" s="56"/>
      <c r="AH4" s="56"/>
      <c r="AI4" s="56"/>
    </row>
    <row r="5" spans="1:35">
      <c r="A5"/>
      <c r="B5" s="59"/>
      <c r="C5" s="59"/>
      <c r="D5" s="56"/>
      <c r="E5" s="56"/>
      <c r="F5" s="59"/>
      <c r="G5" s="59"/>
      <c r="H5" s="56"/>
      <c r="I5" s="59"/>
      <c r="J5" s="59"/>
      <c r="K5" s="59"/>
      <c r="L5" s="59"/>
      <c r="M5" s="59"/>
      <c r="N5" s="59"/>
      <c r="O5" s="59"/>
      <c r="S5" s="56"/>
      <c r="T5" s="56"/>
      <c r="U5" s="56"/>
      <c r="V5" s="56"/>
      <c r="W5" s="56"/>
      <c r="X5" s="56"/>
      <c r="Y5" s="56"/>
      <c r="Z5" s="56"/>
      <c r="AA5" s="56"/>
      <c r="AB5" s="10"/>
      <c r="AC5" s="56"/>
      <c r="AD5" s="56"/>
      <c r="AE5" s="56"/>
      <c r="AF5" s="56"/>
      <c r="AG5" s="56"/>
      <c r="AH5" s="56"/>
      <c r="AI5" s="56"/>
    </row>
    <row r="6" spans="1:35">
      <c r="A6"/>
      <c r="B6" s="59"/>
      <c r="C6" s="59"/>
      <c r="D6" s="56"/>
      <c r="E6" s="56"/>
      <c r="F6" s="59"/>
      <c r="G6" s="59"/>
      <c r="H6" s="56"/>
      <c r="I6" s="59"/>
      <c r="J6" s="59"/>
      <c r="K6" s="59"/>
      <c r="L6" s="59"/>
      <c r="M6" s="59"/>
      <c r="N6" s="59"/>
      <c r="O6" s="59"/>
      <c r="S6" s="56"/>
      <c r="T6" s="56"/>
      <c r="U6" s="56"/>
      <c r="V6" s="56"/>
      <c r="W6" s="56"/>
      <c r="X6" s="56"/>
      <c r="Y6" s="56"/>
      <c r="Z6" s="56"/>
      <c r="AA6" s="56"/>
      <c r="AB6" s="10"/>
      <c r="AC6" s="56"/>
      <c r="AD6" s="56"/>
      <c r="AE6" s="56"/>
      <c r="AF6" s="56"/>
      <c r="AG6" s="56"/>
      <c r="AH6" s="56"/>
      <c r="AI6" s="56"/>
    </row>
    <row r="7" spans="1:35">
      <c r="A7"/>
      <c r="B7" s="59"/>
      <c r="C7" s="59"/>
      <c r="D7" s="56"/>
      <c r="E7" s="56"/>
      <c r="F7" s="59"/>
      <c r="G7" s="59"/>
      <c r="H7" s="56"/>
      <c r="I7" s="59"/>
      <c r="J7" s="59"/>
      <c r="K7" s="59"/>
      <c r="L7" s="59"/>
      <c r="M7" s="59"/>
      <c r="N7" s="59"/>
      <c r="O7" s="59"/>
      <c r="S7" s="56"/>
      <c r="T7" s="56"/>
      <c r="U7" s="56"/>
      <c r="V7" s="56"/>
      <c r="W7" s="56"/>
      <c r="X7" s="56"/>
      <c r="Y7" s="56"/>
      <c r="Z7" s="56"/>
      <c r="AA7" s="56"/>
      <c r="AB7" s="10"/>
      <c r="AC7" s="56"/>
      <c r="AD7" s="56"/>
      <c r="AE7" s="56"/>
      <c r="AF7" s="56"/>
      <c r="AG7" s="56"/>
      <c r="AH7" s="56"/>
      <c r="AI7" s="56"/>
    </row>
    <row r="8" spans="1:35">
      <c r="A8"/>
      <c r="B8" s="59"/>
      <c r="C8" s="59"/>
      <c r="D8" s="56"/>
      <c r="E8" s="56"/>
      <c r="F8" s="59"/>
      <c r="G8" s="59"/>
      <c r="H8" s="56"/>
      <c r="I8" s="59"/>
      <c r="J8" s="59"/>
      <c r="K8" s="59"/>
      <c r="L8" s="59"/>
      <c r="M8" s="59"/>
      <c r="N8" s="59"/>
      <c r="O8" s="59"/>
      <c r="S8" s="56"/>
      <c r="T8" s="56"/>
      <c r="U8" s="56"/>
      <c r="V8" s="56"/>
      <c r="W8" s="56"/>
      <c r="X8" s="56"/>
      <c r="Y8" s="56"/>
      <c r="Z8" s="56"/>
      <c r="AA8" s="56"/>
      <c r="AB8" s="10"/>
      <c r="AC8" s="56"/>
      <c r="AD8" s="56"/>
      <c r="AE8" s="56"/>
      <c r="AF8" s="56"/>
      <c r="AG8" s="56"/>
      <c r="AH8" s="56"/>
      <c r="AI8" s="56"/>
    </row>
    <row r="9" spans="1:35">
      <c r="A9"/>
      <c r="B9" s="59"/>
      <c r="C9" s="59"/>
      <c r="D9" s="56"/>
      <c r="E9" s="56"/>
      <c r="F9" s="59"/>
      <c r="G9" s="59"/>
      <c r="H9" s="56"/>
      <c r="I9" s="59"/>
      <c r="J9" s="59"/>
      <c r="K9" s="59"/>
      <c r="L9" s="59"/>
      <c r="M9" s="59"/>
      <c r="N9" s="59"/>
      <c r="O9" s="59"/>
      <c r="S9" s="56"/>
      <c r="T9" s="56"/>
      <c r="U9" s="56"/>
      <c r="V9" s="56"/>
      <c r="W9" s="56"/>
      <c r="X9" s="56"/>
      <c r="Y9" s="56"/>
      <c r="Z9" s="56"/>
      <c r="AA9" s="56"/>
      <c r="AB9" s="10"/>
      <c r="AC9" s="56"/>
      <c r="AD9" s="56"/>
      <c r="AE9" s="56"/>
      <c r="AF9" s="56"/>
      <c r="AG9" s="56"/>
      <c r="AH9" s="56"/>
      <c r="AI9" s="56"/>
    </row>
    <row r="10" spans="1:35">
      <c r="A10"/>
      <c r="B10" s="59"/>
      <c r="C10" s="59"/>
      <c r="D10" s="56"/>
      <c r="E10" s="56"/>
      <c r="F10" s="59"/>
      <c r="G10" s="59"/>
      <c r="H10" s="56"/>
      <c r="I10" s="59"/>
      <c r="J10" s="59"/>
      <c r="K10" s="59"/>
      <c r="L10" s="59"/>
      <c r="M10" s="59"/>
      <c r="N10" s="59"/>
      <c r="O10" s="59"/>
      <c r="S10" s="56"/>
      <c r="T10" s="56"/>
      <c r="U10" s="56"/>
      <c r="V10" s="56"/>
      <c r="W10" s="56"/>
      <c r="X10" s="56"/>
      <c r="Y10" s="56"/>
      <c r="Z10" s="56"/>
      <c r="AA10" s="56"/>
      <c r="AB10" s="10"/>
      <c r="AC10" s="56"/>
      <c r="AD10" s="56"/>
      <c r="AE10" s="56"/>
      <c r="AF10" s="56"/>
      <c r="AG10" s="56"/>
      <c r="AH10" s="56"/>
      <c r="AI10" s="56"/>
    </row>
    <row r="11" spans="1:35">
      <c r="A11"/>
      <c r="B11" s="59"/>
      <c r="C11" s="59"/>
      <c r="D11" s="56"/>
      <c r="E11" s="56"/>
      <c r="F11" s="59"/>
      <c r="G11" s="59"/>
      <c r="H11" s="56"/>
      <c r="I11" s="59"/>
      <c r="J11" s="59"/>
      <c r="K11" s="59"/>
      <c r="L11" s="59"/>
      <c r="M11" s="59"/>
      <c r="N11" s="59"/>
      <c r="O11" s="59"/>
      <c r="S11" s="56"/>
      <c r="T11" s="56"/>
      <c r="U11" s="56"/>
      <c r="V11" s="56"/>
      <c r="W11" s="56"/>
      <c r="X11" s="56"/>
      <c r="Y11" s="56"/>
      <c r="Z11" s="56"/>
      <c r="AA11" s="56"/>
      <c r="AB11" s="10"/>
      <c r="AC11" s="56"/>
      <c r="AD11" s="56"/>
      <c r="AE11" s="56"/>
      <c r="AF11" s="56"/>
      <c r="AG11" s="56"/>
      <c r="AH11" s="56"/>
      <c r="AI11" s="56"/>
    </row>
    <row r="12" spans="1:35">
      <c r="A12"/>
      <c r="B12" s="59"/>
      <c r="C12" s="59"/>
      <c r="D12" s="56"/>
      <c r="E12" s="56"/>
      <c r="F12" s="59"/>
      <c r="G12" s="59"/>
      <c r="H12" s="56"/>
      <c r="I12" s="59"/>
      <c r="J12" s="59"/>
      <c r="K12" s="59"/>
      <c r="L12" s="59"/>
      <c r="M12" s="59"/>
      <c r="N12" s="59"/>
      <c r="O12" s="59"/>
      <c r="S12" s="56"/>
      <c r="T12" s="56"/>
      <c r="U12" s="56"/>
      <c r="V12" s="56"/>
      <c r="W12" s="56"/>
      <c r="X12" s="56"/>
      <c r="Y12" s="56"/>
      <c r="Z12" s="56"/>
      <c r="AA12" s="56"/>
      <c r="AB12" s="10"/>
      <c r="AC12" s="56"/>
      <c r="AD12" s="56"/>
      <c r="AE12" s="56"/>
      <c r="AF12" s="56"/>
      <c r="AG12" s="56"/>
      <c r="AH12" s="56"/>
      <c r="AI12" s="56"/>
    </row>
    <row r="13" spans="1:35">
      <c r="A13"/>
      <c r="B13" s="59"/>
      <c r="C13" s="59"/>
      <c r="D13" s="56"/>
      <c r="E13" s="56"/>
      <c r="F13" s="59"/>
      <c r="G13" s="59"/>
      <c r="H13" s="56"/>
      <c r="I13" s="59"/>
      <c r="J13" s="59"/>
      <c r="K13" s="59"/>
      <c r="L13" s="59"/>
      <c r="M13" s="59"/>
      <c r="N13" s="59"/>
      <c r="O13" s="59"/>
      <c r="S13" s="56"/>
      <c r="T13" s="56"/>
      <c r="U13" s="56"/>
      <c r="V13" s="56"/>
      <c r="W13" s="56"/>
      <c r="X13" s="56"/>
      <c r="Y13" s="56"/>
      <c r="Z13" s="56"/>
      <c r="AA13" s="56"/>
      <c r="AB13" s="10"/>
      <c r="AC13" s="56"/>
      <c r="AD13" s="56"/>
      <c r="AE13" s="56"/>
      <c r="AF13" s="56"/>
      <c r="AG13" s="56"/>
      <c r="AH13" s="56"/>
      <c r="AI13" s="56"/>
    </row>
    <row r="14" spans="1:35">
      <c r="A14"/>
      <c r="B14" s="59"/>
      <c r="C14" s="59"/>
      <c r="D14" s="56"/>
      <c r="E14" s="56"/>
      <c r="F14" s="59"/>
      <c r="G14" s="59"/>
      <c r="H14" s="56"/>
      <c r="I14" s="59"/>
      <c r="J14" s="59"/>
      <c r="K14" s="59"/>
      <c r="L14" s="59"/>
      <c r="M14" s="59"/>
      <c r="N14" s="59"/>
      <c r="O14" s="59"/>
      <c r="S14" s="56"/>
      <c r="T14" s="56"/>
      <c r="U14" s="56"/>
      <c r="V14" s="56"/>
      <c r="W14" s="56"/>
      <c r="X14" s="56"/>
      <c r="Y14" s="56"/>
      <c r="Z14" s="56"/>
      <c r="AA14" s="56"/>
      <c r="AB14" s="10"/>
      <c r="AC14" s="56"/>
      <c r="AD14" s="56"/>
      <c r="AE14" s="56"/>
      <c r="AF14" s="56"/>
      <c r="AG14" s="56"/>
      <c r="AH14" s="56"/>
      <c r="AI14" s="56"/>
    </row>
    <row r="15" spans="1:35">
      <c r="A15"/>
      <c r="B15" s="59"/>
      <c r="C15" s="59"/>
      <c r="D15" s="56"/>
      <c r="E15" s="56"/>
      <c r="F15" s="59"/>
      <c r="G15" s="59"/>
      <c r="H15" s="56"/>
      <c r="I15" s="59"/>
      <c r="J15" s="59"/>
      <c r="K15" s="59"/>
      <c r="L15" s="59"/>
      <c r="M15" s="59"/>
      <c r="N15" s="59"/>
      <c r="O15" s="59"/>
      <c r="S15" s="56"/>
      <c r="T15" s="56"/>
      <c r="U15" s="56"/>
      <c r="V15" s="56"/>
      <c r="W15" s="56"/>
      <c r="X15" s="56"/>
      <c r="Y15" s="56"/>
      <c r="Z15" s="56"/>
      <c r="AA15" s="56"/>
      <c r="AB15" s="10"/>
      <c r="AC15" s="56"/>
      <c r="AD15" s="56"/>
      <c r="AE15" s="56"/>
      <c r="AF15" s="56"/>
      <c r="AG15" s="56"/>
      <c r="AH15" s="56"/>
      <c r="AI15" s="56"/>
    </row>
    <row r="16" spans="1:35">
      <c r="A16"/>
      <c r="B16" s="59"/>
      <c r="C16" s="59"/>
      <c r="D16" s="56"/>
      <c r="E16" s="56"/>
      <c r="F16" s="59"/>
      <c r="G16" s="59"/>
      <c r="H16" s="56"/>
      <c r="I16" s="59"/>
      <c r="J16" s="59"/>
      <c r="K16" s="59"/>
      <c r="L16" s="59"/>
      <c r="M16" s="59"/>
      <c r="N16" s="59"/>
      <c r="O16" s="59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56"/>
    </row>
    <row r="17" spans="1:35">
      <c r="A17"/>
      <c r="B17" s="59"/>
      <c r="C17" s="59"/>
      <c r="D17" s="56"/>
      <c r="E17" s="56"/>
      <c r="F17" s="59"/>
      <c r="G17" s="59"/>
      <c r="H17" s="56"/>
      <c r="I17" s="59"/>
      <c r="J17" s="59"/>
      <c r="K17" s="59"/>
      <c r="L17" s="59"/>
      <c r="M17" s="59"/>
      <c r="N17" s="59"/>
      <c r="O17" s="59"/>
      <c r="S17" s="56"/>
      <c r="T17" s="56"/>
      <c r="U17" s="56"/>
      <c r="V17" s="56"/>
      <c r="W17" s="56"/>
      <c r="X17" s="56"/>
      <c r="Y17" s="56"/>
      <c r="Z17" s="56"/>
      <c r="AA17" s="56"/>
      <c r="AB17" s="10"/>
      <c r="AC17" s="56"/>
      <c r="AD17" s="56"/>
      <c r="AE17" s="56"/>
      <c r="AF17" s="56"/>
      <c r="AG17" s="56"/>
      <c r="AH17" s="56"/>
      <c r="AI17" s="56"/>
    </row>
    <row r="18" spans="1:35">
      <c r="A18"/>
      <c r="B18" s="59"/>
      <c r="C18" s="59"/>
      <c r="D18" s="56"/>
      <c r="E18" s="56"/>
      <c r="F18" s="59"/>
      <c r="G18" s="59"/>
      <c r="H18" s="56"/>
      <c r="I18" s="59"/>
      <c r="J18" s="59"/>
      <c r="K18" s="59"/>
      <c r="L18" s="59"/>
      <c r="M18" s="59"/>
      <c r="N18" s="59"/>
      <c r="O18" s="59"/>
      <c r="S18" s="56"/>
      <c r="T18" s="56"/>
      <c r="U18" s="56"/>
      <c r="V18" s="56"/>
      <c r="W18" s="56"/>
      <c r="X18" s="56"/>
      <c r="Y18" s="56"/>
      <c r="Z18" s="56"/>
      <c r="AA18" s="56"/>
      <c r="AB18" s="10"/>
      <c r="AC18" s="56"/>
      <c r="AD18" s="56"/>
      <c r="AE18" s="56"/>
      <c r="AF18" s="56"/>
      <c r="AG18" s="56"/>
      <c r="AH18" s="56"/>
      <c r="AI18" s="56"/>
    </row>
    <row r="19" spans="1:35">
      <c r="A19"/>
      <c r="B19" s="59"/>
      <c r="C19" s="59"/>
      <c r="D19" s="56"/>
      <c r="E19" s="56"/>
      <c r="F19" s="59"/>
      <c r="G19" s="59"/>
      <c r="H19" s="56"/>
      <c r="I19" s="59"/>
      <c r="J19" s="59"/>
      <c r="K19" s="59"/>
      <c r="L19" s="59"/>
      <c r="M19" s="59"/>
      <c r="N19" s="59"/>
      <c r="O19" s="59"/>
      <c r="S19" s="56"/>
      <c r="T19" s="56"/>
      <c r="U19" s="56"/>
      <c r="V19" s="56"/>
      <c r="W19" s="56"/>
      <c r="X19" s="56"/>
      <c r="Y19" s="56"/>
      <c r="Z19" s="56"/>
      <c r="AA19" s="56"/>
      <c r="AB19" s="10"/>
      <c r="AC19" s="56"/>
      <c r="AD19" s="56"/>
      <c r="AE19" s="56"/>
      <c r="AF19" s="56"/>
      <c r="AG19" s="56"/>
      <c r="AH19" s="56"/>
      <c r="AI19" s="56"/>
    </row>
    <row r="20" spans="1:35">
      <c r="A20"/>
      <c r="B20" s="59"/>
      <c r="C20" s="59"/>
      <c r="D20" s="56"/>
      <c r="E20" s="56"/>
      <c r="F20" s="59"/>
      <c r="G20" s="59"/>
      <c r="H20" s="56"/>
      <c r="I20" s="59"/>
      <c r="J20" s="59"/>
      <c r="K20" s="59"/>
      <c r="L20" s="59"/>
      <c r="M20" s="59"/>
      <c r="N20" s="59"/>
      <c r="O20" s="59"/>
      <c r="S20" s="56"/>
      <c r="T20" s="56"/>
      <c r="U20" s="56"/>
      <c r="V20" s="56"/>
      <c r="W20" s="56"/>
      <c r="X20" s="56"/>
      <c r="Y20" s="56"/>
      <c r="Z20" s="56"/>
      <c r="AA20" s="56"/>
      <c r="AB20" s="10"/>
      <c r="AC20" s="56"/>
      <c r="AD20" s="56"/>
      <c r="AE20" s="56"/>
      <c r="AF20" s="56"/>
      <c r="AG20" s="56"/>
      <c r="AH20" s="56"/>
      <c r="AI20" s="56"/>
    </row>
    <row r="21" spans="1:35">
      <c r="A21"/>
      <c r="B21" s="59"/>
      <c r="C21" s="59"/>
      <c r="D21" s="56"/>
      <c r="E21" s="56"/>
      <c r="F21" s="59"/>
      <c r="G21" s="59"/>
      <c r="H21" s="56"/>
      <c r="I21" s="59"/>
      <c r="J21" s="59"/>
      <c r="K21" s="59"/>
      <c r="L21" s="59"/>
      <c r="M21" s="59"/>
      <c r="N21" s="59"/>
      <c r="O21" s="59"/>
      <c r="S21" s="56"/>
      <c r="T21" s="56"/>
      <c r="U21" s="56"/>
      <c r="V21" s="56"/>
      <c r="W21" s="56"/>
      <c r="X21" s="56"/>
      <c r="Y21" s="56"/>
      <c r="Z21" s="56"/>
      <c r="AA21" s="56"/>
      <c r="AB21" s="10"/>
      <c r="AC21" s="56"/>
      <c r="AD21" s="56"/>
      <c r="AE21" s="56"/>
      <c r="AF21" s="56"/>
      <c r="AG21" s="56"/>
      <c r="AH21" s="56"/>
      <c r="AI21" s="56"/>
    </row>
    <row r="22" spans="1:35">
      <c r="A22"/>
      <c r="B22" s="59"/>
      <c r="C22" s="59"/>
      <c r="D22" s="56"/>
      <c r="E22" s="56"/>
      <c r="F22" s="59"/>
      <c r="G22" s="59"/>
      <c r="H22" s="56"/>
      <c r="I22" s="59"/>
      <c r="J22" s="59"/>
      <c r="K22" s="59"/>
      <c r="L22" s="59"/>
      <c r="M22" s="59"/>
      <c r="N22" s="59"/>
      <c r="O22" s="59"/>
      <c r="S22" s="56"/>
      <c r="T22" s="56"/>
      <c r="U22" s="56"/>
      <c r="V22" s="56"/>
      <c r="W22" s="56"/>
      <c r="X22" s="56"/>
      <c r="Y22" s="56"/>
      <c r="Z22" s="56"/>
      <c r="AA22" s="56"/>
      <c r="AB22" s="10"/>
      <c r="AC22" s="56"/>
      <c r="AD22" s="56"/>
      <c r="AE22" s="56"/>
      <c r="AF22" s="56"/>
      <c r="AG22" s="56"/>
      <c r="AH22" s="56"/>
      <c r="AI22" s="56"/>
    </row>
    <row r="23" spans="1:35">
      <c r="A23"/>
      <c r="B23" s="59"/>
      <c r="C23" s="59"/>
      <c r="D23" s="56"/>
      <c r="E23" s="56"/>
      <c r="F23" s="59"/>
      <c r="G23" s="59"/>
      <c r="H23" s="56"/>
      <c r="I23" s="59"/>
      <c r="J23" s="59"/>
      <c r="K23" s="59"/>
      <c r="L23" s="59"/>
      <c r="M23" s="59"/>
      <c r="N23" s="59"/>
      <c r="O23" s="59"/>
      <c r="S23" s="56"/>
      <c r="T23" s="56"/>
      <c r="U23" s="56"/>
      <c r="V23" s="56"/>
      <c r="W23" s="56"/>
      <c r="X23" s="56"/>
      <c r="Y23" s="56"/>
      <c r="Z23" s="56"/>
      <c r="AA23" s="56"/>
      <c r="AB23" s="10"/>
      <c r="AC23" s="56"/>
      <c r="AD23" s="56"/>
      <c r="AE23" s="56"/>
      <c r="AF23" s="56"/>
      <c r="AG23" s="56"/>
      <c r="AH23" s="56"/>
      <c r="AI23" s="56"/>
    </row>
    <row r="24" spans="1:35">
      <c r="A24"/>
      <c r="B24" s="59"/>
      <c r="C24" s="59"/>
      <c r="D24" s="56"/>
      <c r="E24" s="56"/>
      <c r="F24" s="59"/>
      <c r="G24" s="59"/>
      <c r="H24" s="56"/>
      <c r="I24" s="59"/>
      <c r="J24" s="59"/>
      <c r="K24" s="59"/>
      <c r="L24" s="59"/>
      <c r="M24" s="59"/>
      <c r="N24" s="59"/>
      <c r="O24" s="59"/>
      <c r="S24" s="56"/>
      <c r="T24" s="56"/>
      <c r="U24" s="56"/>
      <c r="V24" s="56"/>
      <c r="W24" s="56"/>
      <c r="X24" s="56"/>
      <c r="Y24" s="56"/>
      <c r="Z24" s="56"/>
      <c r="AA24" s="56"/>
      <c r="AB24" s="10"/>
      <c r="AC24" s="56"/>
      <c r="AD24" s="56"/>
      <c r="AE24" s="56"/>
      <c r="AF24" s="56"/>
      <c r="AG24" s="56"/>
      <c r="AH24" s="56"/>
      <c r="AI24" s="56"/>
    </row>
    <row r="25" spans="1:35">
      <c r="A25"/>
      <c r="B25" s="59"/>
      <c r="C25" s="59"/>
      <c r="D25" s="56"/>
      <c r="E25" s="56"/>
      <c r="F25" s="59"/>
      <c r="G25" s="59"/>
      <c r="H25" s="56"/>
      <c r="I25" s="59"/>
      <c r="J25" s="59"/>
      <c r="K25" s="59"/>
      <c r="L25" s="59"/>
      <c r="M25" s="59"/>
      <c r="N25" s="59"/>
      <c r="O25" s="59"/>
      <c r="S25" s="56"/>
      <c r="T25" s="56"/>
      <c r="U25" s="56"/>
      <c r="V25" s="56"/>
      <c r="W25" s="56"/>
      <c r="X25" s="56"/>
      <c r="Y25" s="56"/>
      <c r="Z25" s="56"/>
      <c r="AA25" s="56"/>
      <c r="AB25" s="10"/>
      <c r="AC25" s="56"/>
      <c r="AD25" s="56"/>
      <c r="AE25" s="56"/>
      <c r="AF25" s="56"/>
      <c r="AG25" s="56"/>
      <c r="AH25" s="56"/>
      <c r="AI25" s="56"/>
    </row>
    <row r="26" spans="1:35">
      <c r="A26"/>
      <c r="B26" s="59"/>
      <c r="C26" s="59"/>
      <c r="D26" s="56"/>
      <c r="E26" s="56"/>
      <c r="F26" s="59"/>
      <c r="G26" s="59"/>
      <c r="H26" s="56"/>
      <c r="I26" s="59"/>
      <c r="J26" s="59"/>
      <c r="K26" s="59"/>
      <c r="L26" s="59"/>
      <c r="M26" s="59"/>
      <c r="N26" s="59"/>
      <c r="O26" s="59"/>
      <c r="S26" s="56"/>
      <c r="T26" s="56"/>
      <c r="U26" s="56"/>
      <c r="V26" s="56"/>
      <c r="W26" s="56"/>
      <c r="X26" s="56"/>
      <c r="Y26" s="56"/>
      <c r="Z26" s="56"/>
      <c r="AA26" s="56"/>
      <c r="AB26" s="10"/>
      <c r="AC26" s="56"/>
      <c r="AD26" s="56"/>
      <c r="AE26" s="56"/>
      <c r="AF26" s="56"/>
      <c r="AG26" s="56"/>
      <c r="AH26" s="56"/>
      <c r="AI26" s="56"/>
    </row>
    <row r="27" spans="1:35">
      <c r="A27"/>
      <c r="B27" s="59"/>
      <c r="C27" s="59"/>
      <c r="D27" s="56"/>
      <c r="E27" s="56"/>
      <c r="F27" s="59"/>
      <c r="G27" s="59"/>
      <c r="H27" s="56"/>
      <c r="I27" s="59"/>
      <c r="J27" s="59"/>
      <c r="K27" s="59"/>
      <c r="L27" s="59"/>
      <c r="M27" s="59"/>
      <c r="N27" s="59"/>
      <c r="O27" s="59"/>
      <c r="S27" s="56"/>
      <c r="T27" s="56"/>
      <c r="U27" s="56"/>
      <c r="V27" s="56"/>
      <c r="W27" s="56"/>
      <c r="X27" s="56"/>
      <c r="Y27" s="56"/>
      <c r="Z27" s="56"/>
      <c r="AA27" s="56"/>
      <c r="AB27" s="10"/>
      <c r="AC27" s="56"/>
      <c r="AD27" s="56"/>
      <c r="AE27" s="56"/>
      <c r="AF27" s="56"/>
      <c r="AG27" s="56"/>
      <c r="AH27" s="56"/>
      <c r="AI27" s="56"/>
    </row>
    <row r="28" spans="1:35">
      <c r="A28"/>
      <c r="B28" s="59"/>
      <c r="C28" s="59"/>
      <c r="D28" s="56"/>
      <c r="E28" s="56"/>
      <c r="F28" s="59"/>
      <c r="G28" s="59"/>
      <c r="H28" s="56"/>
      <c r="I28" s="59"/>
      <c r="J28" s="59"/>
      <c r="K28" s="59"/>
      <c r="L28" s="59"/>
      <c r="M28" s="59"/>
      <c r="N28" s="59"/>
      <c r="O28" s="59"/>
      <c r="S28" s="56"/>
      <c r="T28" s="56"/>
      <c r="U28" s="56"/>
      <c r="V28" s="56"/>
      <c r="W28" s="56"/>
      <c r="X28" s="56"/>
      <c r="Y28" s="56"/>
      <c r="Z28" s="56"/>
      <c r="AA28" s="56"/>
      <c r="AB28" s="10"/>
      <c r="AC28" s="56"/>
      <c r="AD28" s="56"/>
      <c r="AE28" s="56"/>
      <c r="AF28" s="56"/>
      <c r="AG28" s="56"/>
      <c r="AH28" s="56"/>
      <c r="AI28" s="56"/>
    </row>
    <row r="29" spans="1:35">
      <c r="A29"/>
      <c r="B29" s="59"/>
      <c r="C29" s="59"/>
      <c r="D29" s="56"/>
      <c r="E29" s="56"/>
      <c r="F29" s="59"/>
      <c r="G29" s="59"/>
      <c r="H29" s="56"/>
      <c r="I29" s="59"/>
      <c r="J29" s="59"/>
      <c r="K29" s="59"/>
      <c r="L29" s="59"/>
      <c r="M29" s="59"/>
      <c r="N29" s="59"/>
      <c r="O29" s="59"/>
      <c r="S29" s="56"/>
      <c r="T29" s="56"/>
      <c r="U29" s="56"/>
      <c r="V29" s="56"/>
      <c r="W29" s="56"/>
      <c r="X29" s="56"/>
      <c r="Y29" s="56"/>
      <c r="Z29" s="56"/>
      <c r="AA29" s="56"/>
      <c r="AB29" s="10"/>
      <c r="AC29" s="56"/>
      <c r="AD29" s="56"/>
      <c r="AE29" s="56"/>
      <c r="AF29" s="56"/>
      <c r="AG29" s="56"/>
      <c r="AH29" s="56"/>
      <c r="AI29" s="56"/>
    </row>
    <row r="30" spans="1:35">
      <c r="A30"/>
      <c r="B30" s="59"/>
      <c r="C30" s="59"/>
      <c r="D30" s="56"/>
      <c r="E30" s="56"/>
      <c r="F30" s="59"/>
      <c r="G30" s="59"/>
      <c r="H30" s="56"/>
      <c r="I30" s="59"/>
      <c r="J30" s="59"/>
      <c r="K30" s="59"/>
      <c r="L30" s="59"/>
      <c r="M30" s="59"/>
      <c r="N30" s="59"/>
      <c r="O30" s="59"/>
      <c r="S30" s="56"/>
      <c r="T30" s="56"/>
      <c r="U30" s="56"/>
      <c r="V30" s="56"/>
      <c r="W30" s="56"/>
      <c r="X30" s="56"/>
      <c r="Y30" s="56"/>
      <c r="Z30" s="56"/>
      <c r="AA30" s="56"/>
      <c r="AB30" s="10"/>
      <c r="AC30" s="56"/>
      <c r="AD30" s="56"/>
      <c r="AE30" s="56"/>
      <c r="AF30" s="56"/>
      <c r="AG30" s="56"/>
      <c r="AH30" s="56"/>
      <c r="AI30" s="56"/>
    </row>
    <row r="31" spans="1:35">
      <c r="A31"/>
      <c r="B31" s="59"/>
      <c r="C31" s="59"/>
      <c r="D31" s="56"/>
      <c r="E31" s="56"/>
      <c r="F31" s="59"/>
      <c r="G31" s="59"/>
      <c r="H31" s="56"/>
      <c r="I31" s="59"/>
      <c r="J31" s="59"/>
      <c r="K31" s="59"/>
      <c r="L31" s="59"/>
      <c r="M31" s="59"/>
      <c r="N31" s="59"/>
      <c r="O31" s="59"/>
      <c r="S31" s="56"/>
      <c r="T31" s="56"/>
      <c r="U31" s="56"/>
      <c r="V31" s="56"/>
      <c r="W31" s="56"/>
      <c r="X31" s="56"/>
      <c r="Y31" s="56"/>
      <c r="Z31" s="56"/>
      <c r="AA31" s="56"/>
      <c r="AB31" s="10"/>
      <c r="AC31" s="56"/>
      <c r="AD31" s="56"/>
      <c r="AE31" s="56"/>
      <c r="AF31" s="56"/>
      <c r="AG31" s="56"/>
      <c r="AH31" s="56"/>
      <c r="AI31" s="56"/>
    </row>
    <row r="32" spans="1:35">
      <c r="A32"/>
      <c r="B32" s="59"/>
      <c r="C32" s="59"/>
      <c r="D32" s="56"/>
      <c r="E32" s="56"/>
      <c r="F32" s="59"/>
      <c r="G32" s="59"/>
      <c r="H32" s="56"/>
      <c r="I32" s="59"/>
      <c r="J32" s="59"/>
      <c r="K32" s="59"/>
      <c r="L32" s="59"/>
      <c r="M32" s="59"/>
      <c r="N32" s="59"/>
      <c r="O32" s="59"/>
      <c r="S32" s="56"/>
      <c r="T32" s="56"/>
      <c r="U32" s="56"/>
      <c r="V32" s="56"/>
      <c r="W32" s="56"/>
      <c r="X32" s="56"/>
      <c r="Y32" s="56"/>
      <c r="Z32" s="56"/>
      <c r="AA32" s="56"/>
      <c r="AB32" s="10"/>
      <c r="AC32" s="56"/>
      <c r="AD32" s="56"/>
      <c r="AE32" s="56"/>
      <c r="AF32" s="56"/>
      <c r="AG32" s="56"/>
      <c r="AH32" s="56"/>
      <c r="AI32" s="56"/>
    </row>
    <row r="33" spans="1:35">
      <c r="A33"/>
      <c r="B33" s="59"/>
      <c r="C33" s="59"/>
      <c r="D33" s="56"/>
      <c r="E33" s="56"/>
      <c r="F33" s="59"/>
      <c r="G33" s="59"/>
      <c r="H33" s="56"/>
      <c r="I33" s="59"/>
      <c r="J33" s="59"/>
      <c r="K33" s="59"/>
      <c r="L33" s="59"/>
      <c r="M33" s="59"/>
      <c r="N33" s="59"/>
      <c r="O33" s="59"/>
      <c r="S33" s="56"/>
      <c r="T33" s="56"/>
      <c r="U33" s="56"/>
      <c r="V33" s="56"/>
      <c r="W33" s="56"/>
      <c r="X33" s="56"/>
      <c r="Y33" s="56"/>
      <c r="Z33" s="56"/>
      <c r="AA33" s="56"/>
      <c r="AB33" s="10"/>
      <c r="AC33" s="56"/>
      <c r="AD33" s="56"/>
      <c r="AE33" s="56"/>
      <c r="AF33" s="56"/>
      <c r="AG33" s="56"/>
      <c r="AH33" s="56"/>
      <c r="AI33" s="56"/>
    </row>
    <row r="34" spans="1:35">
      <c r="A34"/>
      <c r="B34" s="59"/>
      <c r="C34" s="59"/>
      <c r="D34" s="56"/>
      <c r="E34" s="56"/>
      <c r="F34" s="59"/>
      <c r="G34" s="59"/>
      <c r="H34" s="56"/>
      <c r="I34" s="59"/>
      <c r="J34" s="59"/>
      <c r="K34" s="59"/>
      <c r="L34" s="59"/>
      <c r="M34" s="59"/>
      <c r="N34" s="59"/>
      <c r="O34" s="59"/>
      <c r="S34" s="56"/>
      <c r="T34" s="56"/>
      <c r="U34" s="56"/>
      <c r="V34" s="56"/>
      <c r="W34" s="56"/>
      <c r="X34" s="56"/>
      <c r="Y34" s="56"/>
      <c r="Z34" s="56"/>
      <c r="AA34" s="56"/>
      <c r="AB34" s="10"/>
      <c r="AC34" s="56"/>
      <c r="AD34" s="56"/>
      <c r="AE34" s="56"/>
      <c r="AF34" s="56"/>
      <c r="AG34" s="56"/>
      <c r="AH34" s="56"/>
      <c r="AI34" s="56"/>
    </row>
    <row r="35" spans="1:35">
      <c r="A35"/>
      <c r="B35" s="59"/>
      <c r="C35" s="59"/>
      <c r="D35" s="56"/>
      <c r="E35" s="56"/>
      <c r="F35" s="59"/>
      <c r="G35" s="59"/>
      <c r="H35" s="56"/>
      <c r="I35" s="59"/>
      <c r="J35" s="59"/>
      <c r="K35" s="59"/>
      <c r="L35" s="59"/>
      <c r="M35" s="59"/>
      <c r="N35" s="59"/>
      <c r="O35" s="59"/>
      <c r="S35" s="56"/>
      <c r="T35" s="56"/>
      <c r="U35" s="56"/>
      <c r="V35" s="56"/>
      <c r="W35" s="56"/>
      <c r="X35" s="56"/>
      <c r="Y35" s="56"/>
      <c r="Z35" s="56"/>
      <c r="AA35" s="56"/>
      <c r="AB35" s="10"/>
      <c r="AC35" s="56"/>
      <c r="AD35" s="56"/>
      <c r="AE35" s="56"/>
      <c r="AF35" s="56"/>
      <c r="AG35" s="56"/>
      <c r="AH35" s="56"/>
      <c r="AI35" s="56"/>
    </row>
    <row r="36" spans="1:35">
      <c r="A36"/>
      <c r="B36" s="59"/>
      <c r="C36" s="59"/>
      <c r="D36" s="56"/>
      <c r="E36" s="56"/>
      <c r="F36" s="59"/>
      <c r="G36" s="59"/>
      <c r="H36" s="56"/>
      <c r="I36" s="59"/>
      <c r="J36" s="59"/>
      <c r="K36" s="59"/>
      <c r="L36" s="59"/>
      <c r="M36" s="59"/>
      <c r="N36" s="59"/>
      <c r="O36" s="59"/>
      <c r="S36" s="56"/>
      <c r="T36" s="56"/>
      <c r="U36" s="56"/>
      <c r="V36" s="56"/>
      <c r="W36" s="56"/>
      <c r="X36" s="56"/>
      <c r="Y36" s="56"/>
      <c r="Z36" s="56"/>
      <c r="AA36" s="56"/>
      <c r="AB36" s="10"/>
      <c r="AC36" s="56"/>
      <c r="AD36" s="56"/>
      <c r="AE36" s="56"/>
      <c r="AF36" s="56"/>
      <c r="AG36" s="56"/>
      <c r="AH36" s="56"/>
      <c r="AI36" s="56"/>
    </row>
    <row r="37" spans="1:35">
      <c r="A37"/>
      <c r="B37" s="59"/>
      <c r="C37" s="59"/>
      <c r="D37" s="56"/>
      <c r="E37" s="56"/>
      <c r="F37" s="59"/>
      <c r="G37" s="59"/>
      <c r="H37" s="56"/>
      <c r="I37" s="59"/>
      <c r="J37" s="59"/>
      <c r="K37" s="59"/>
      <c r="L37" s="59"/>
      <c r="M37" s="59"/>
      <c r="N37" s="59"/>
      <c r="O37" s="59"/>
      <c r="S37" s="56"/>
      <c r="T37" s="56"/>
      <c r="U37" s="56"/>
      <c r="V37" s="56"/>
      <c r="W37" s="56"/>
      <c r="X37" s="56"/>
      <c r="Y37" s="56"/>
      <c r="Z37" s="56"/>
      <c r="AA37" s="56"/>
      <c r="AB37" s="10"/>
      <c r="AC37" s="56"/>
      <c r="AD37" s="56"/>
      <c r="AE37" s="56"/>
      <c r="AF37" s="56"/>
      <c r="AG37" s="56"/>
      <c r="AH37" s="56"/>
      <c r="AI37" s="56"/>
    </row>
    <row r="38" spans="1:35">
      <c r="A38"/>
      <c r="B38" s="59"/>
      <c r="C38" s="59"/>
      <c r="D38" s="56"/>
      <c r="E38" s="56"/>
      <c r="F38" s="59"/>
      <c r="G38" s="59"/>
      <c r="H38" s="56"/>
      <c r="I38" s="59"/>
      <c r="J38" s="59"/>
      <c r="K38" s="59"/>
      <c r="L38" s="59"/>
      <c r="M38" s="59"/>
      <c r="N38" s="59"/>
      <c r="O38" s="59"/>
      <c r="S38" s="56"/>
      <c r="T38" s="56"/>
      <c r="U38" s="56"/>
      <c r="V38" s="56"/>
      <c r="W38" s="56"/>
      <c r="X38" s="56"/>
      <c r="Y38" s="56"/>
      <c r="Z38" s="56"/>
      <c r="AA38" s="56"/>
      <c r="AB38" s="10"/>
      <c r="AC38" s="56"/>
      <c r="AD38" s="56"/>
      <c r="AE38" s="56"/>
      <c r="AF38" s="56"/>
      <c r="AG38" s="56"/>
      <c r="AH38" s="56"/>
      <c r="AI38" s="56"/>
    </row>
    <row r="39" spans="1:35">
      <c r="A39"/>
      <c r="B39" s="59"/>
      <c r="C39" s="59"/>
      <c r="D39" s="56"/>
      <c r="E39" s="56"/>
      <c r="F39" s="59"/>
      <c r="G39" s="59"/>
      <c r="H39" s="56"/>
      <c r="I39" s="59"/>
      <c r="J39" s="59"/>
      <c r="K39" s="59"/>
      <c r="L39" s="59"/>
      <c r="M39" s="59"/>
      <c r="N39" s="59"/>
      <c r="O39" s="59"/>
      <c r="S39" s="56"/>
      <c r="T39" s="56"/>
      <c r="U39" s="56"/>
      <c r="V39" s="56"/>
      <c r="W39" s="56"/>
      <c r="X39" s="56"/>
      <c r="Y39" s="56"/>
      <c r="Z39" s="56"/>
      <c r="AA39" s="56"/>
      <c r="AB39" s="10"/>
      <c r="AC39" s="56"/>
      <c r="AD39" s="56"/>
      <c r="AE39" s="56"/>
      <c r="AF39" s="56"/>
      <c r="AG39" s="56"/>
      <c r="AH39" s="56"/>
      <c r="AI39" s="56"/>
    </row>
    <row r="40" spans="1:35">
      <c r="A40"/>
      <c r="B40" s="59"/>
      <c r="C40" s="59"/>
      <c r="D40" s="56"/>
      <c r="E40" s="56"/>
      <c r="F40" s="59"/>
      <c r="G40" s="59"/>
      <c r="H40" s="56"/>
      <c r="I40" s="59"/>
      <c r="J40" s="59"/>
      <c r="K40" s="59"/>
      <c r="L40" s="59"/>
      <c r="M40" s="59"/>
      <c r="N40" s="59"/>
      <c r="O40" s="59"/>
      <c r="S40" s="56"/>
      <c r="T40" s="56"/>
      <c r="U40" s="56"/>
      <c r="V40" s="56"/>
      <c r="W40" s="56"/>
      <c r="X40" s="56"/>
      <c r="Y40" s="56"/>
      <c r="Z40" s="56"/>
      <c r="AA40" s="56"/>
      <c r="AB40" s="10"/>
      <c r="AC40" s="56"/>
      <c r="AD40" s="56"/>
      <c r="AE40" s="56"/>
      <c r="AF40" s="56"/>
      <c r="AG40" s="56"/>
      <c r="AH40" s="56"/>
      <c r="AI40" s="56"/>
    </row>
    <row r="41" spans="1:35">
      <c r="A41"/>
      <c r="B41" s="59"/>
      <c r="C41" s="59"/>
      <c r="D41" s="56"/>
      <c r="E41" s="56"/>
      <c r="F41" s="59"/>
      <c r="G41" s="59"/>
      <c r="H41" s="56"/>
      <c r="I41" s="59"/>
      <c r="J41" s="59"/>
      <c r="K41" s="59"/>
      <c r="L41" s="59"/>
      <c r="M41" s="59"/>
      <c r="N41" s="59"/>
      <c r="O41" s="59"/>
      <c r="S41" s="56"/>
      <c r="T41" s="56"/>
      <c r="U41" s="56"/>
      <c r="V41" s="56"/>
      <c r="W41" s="56"/>
      <c r="X41" s="56"/>
      <c r="Y41" s="56"/>
      <c r="Z41" s="56"/>
      <c r="AA41" s="56"/>
      <c r="AB41" s="10"/>
      <c r="AC41" s="56"/>
      <c r="AD41" s="56"/>
      <c r="AE41" s="56"/>
      <c r="AF41" s="56"/>
      <c r="AG41" s="56"/>
      <c r="AH41" s="56"/>
      <c r="AI41" s="56"/>
    </row>
    <row r="42" spans="1:35">
      <c r="A42"/>
      <c r="B42" s="59"/>
      <c r="C42" s="59"/>
      <c r="D42" s="56"/>
      <c r="E42" s="56"/>
      <c r="F42" s="59"/>
      <c r="G42" s="59"/>
      <c r="H42" s="56"/>
      <c r="I42" s="59"/>
      <c r="J42" s="59"/>
      <c r="K42" s="59"/>
      <c r="L42" s="59"/>
      <c r="M42" s="59"/>
      <c r="N42" s="59"/>
      <c r="O42" s="59"/>
      <c r="S42" s="56"/>
      <c r="T42" s="56"/>
      <c r="U42" s="56"/>
      <c r="V42" s="56"/>
      <c r="W42" s="56"/>
      <c r="X42" s="56"/>
      <c r="Y42" s="56"/>
      <c r="Z42" s="56"/>
      <c r="AA42" s="56"/>
      <c r="AB42" s="10"/>
      <c r="AC42" s="56"/>
      <c r="AD42" s="56"/>
      <c r="AE42" s="56"/>
      <c r="AF42" s="56"/>
      <c r="AG42" s="56"/>
      <c r="AH42" s="56"/>
      <c r="AI42" s="56"/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28"/>
  <sheetViews>
    <sheetView topLeftCell="A100" zoomScale="85" zoomScaleNormal="85" zoomScalePageLayoutView="85" workbookViewId="0">
      <selection activeCell="O126" sqref="O126"/>
    </sheetView>
  </sheetViews>
  <sheetFormatPr defaultColWidth="8.85546875"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42578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>
      <c r="A5" s="3" t="s">
        <v>7</v>
      </c>
      <c r="B5" s="4">
        <f>l_1/l_2</f>
        <v>1.5909090909090908</v>
      </c>
      <c r="D5" s="56" t="s">
        <v>8</v>
      </c>
    </row>
    <row r="6" spans="1:5" ht="18" customHeight="1">
      <c r="A6" s="3" t="s">
        <v>9</v>
      </c>
      <c r="B6" s="2">
        <v>21</v>
      </c>
      <c r="C6" t="s">
        <v>10</v>
      </c>
    </row>
    <row r="7" spans="1:5" ht="18" customHeight="1">
      <c r="A7" s="3" t="s">
        <v>11</v>
      </c>
      <c r="B7" s="2">
        <v>21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>
      <c r="A12" s="3" t="s">
        <v>18</v>
      </c>
      <c r="B12" s="2">
        <v>11</v>
      </c>
      <c r="C12" t="s">
        <v>10</v>
      </c>
    </row>
    <row r="13" spans="1:5">
      <c r="A13" s="3" t="s">
        <v>19</v>
      </c>
      <c r="B13" s="2">
        <v>9.75</v>
      </c>
      <c r="C13" t="s">
        <v>10</v>
      </c>
    </row>
    <row r="14" spans="1:5" ht="18" customHeight="1">
      <c r="A14" s="3" t="s">
        <v>20</v>
      </c>
      <c r="B14" s="2">
        <v>145</v>
      </c>
      <c r="C14" t="s">
        <v>21</v>
      </c>
    </row>
    <row r="15" spans="1:5" ht="18" customHeight="1">
      <c r="A15" s="3" t="s">
        <v>22</v>
      </c>
      <c r="B15">
        <f>h/2</f>
        <v>5.5</v>
      </c>
      <c r="C15" t="s">
        <v>10</v>
      </c>
    </row>
    <row r="16" spans="1:5">
      <c r="A16" s="3" t="s">
        <v>23</v>
      </c>
      <c r="B16" s="5">
        <f>29000000/E_c</f>
        <v>5.9315173688353893</v>
      </c>
    </row>
    <row r="17" spans="1:5" ht="18" customHeight="1">
      <c r="A17" s="11" t="s">
        <v>24</v>
      </c>
      <c r="B17" s="4">
        <f>IF(AND(w_c&lt;150, w_c&gt;140), 0.85,IF(w_c=150, 1, "ERROR"))</f>
        <v>0.85</v>
      </c>
    </row>
    <row r="18" spans="1:5" ht="18" customHeight="1">
      <c r="A18" s="3" t="s">
        <v>25</v>
      </c>
      <c r="B18" s="5">
        <f>4.5*lambda_w*SQRT(f_c)</f>
        <v>270.4683438038544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21</v>
      </c>
      <c r="C26" t="s">
        <v>35</v>
      </c>
    </row>
    <row r="27" spans="1:5">
      <c r="A27" s="3" t="s">
        <v>36</v>
      </c>
      <c r="B27" s="2">
        <v>125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132.91666666666666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3943.6594202898546</v>
      </c>
      <c r="C30" t="s">
        <v>40</v>
      </c>
    </row>
    <row r="31" spans="1:5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>
      <c r="A78" s="21" t="s">
        <v>80</v>
      </c>
      <c r="F78" t="s">
        <v>81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0.54614289068960964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126985.83333333333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102</vt:i4>
      </vt:variant>
    </vt:vector>
  </HeadingPairs>
  <TitlesOfParts>
    <vt:vector size="109" baseType="lpstr">
      <vt:lpstr>Slab_Properties</vt:lpstr>
      <vt:lpstr>FP_AISC_DG_11_Sensitive_Equip</vt:lpstr>
      <vt:lpstr>Drop_Slab_Properties</vt:lpstr>
      <vt:lpstr>DS_AISC_DG_11_Sensitive_Equip</vt:lpstr>
      <vt:lpstr>Batch calculations -&gt;</vt:lpstr>
      <vt:lpstr>Sample_Slabs</vt:lpstr>
      <vt:lpstr>SSM_Example</vt:lpstr>
      <vt:lpstr>Drop_Slab_Properties!c_1</vt:lpstr>
      <vt:lpstr>Slab_Properties!c_1</vt:lpstr>
      <vt:lpstr>SSM_Example!c_1</vt:lpstr>
      <vt:lpstr>Drop_Slab_Properties!c_2</vt:lpstr>
      <vt:lpstr>Slab_Properties!c_2</vt:lpstr>
      <vt:lpstr>SSM_Example!c_2</vt:lpstr>
      <vt:lpstr>Drop_Slab_Properties!d</vt:lpstr>
      <vt:lpstr>Slab_Properties!d</vt:lpstr>
      <vt:lpstr>SSM_Example!d</vt:lpstr>
      <vt:lpstr>d_drop</vt:lpstr>
      <vt:lpstr>Drop_Slab_Properties!E_c</vt:lpstr>
      <vt:lpstr>Slab_Properties!E_c</vt:lpstr>
      <vt:lpstr>SSM_Example!E_c</vt:lpstr>
      <vt:lpstr>Drop_Slab_Properties!f_c</vt:lpstr>
      <vt:lpstr>Slab_Properties!f_c</vt:lpstr>
      <vt:lpstr>SSM_Example!f_c</vt:lpstr>
      <vt:lpstr>Drop_Slab_Properties!f_n</vt:lpstr>
      <vt:lpstr>SSM_Example!f_n</vt:lpstr>
      <vt:lpstr>f_n</vt:lpstr>
      <vt:lpstr>Drop_Slab_Properties!f_r</vt:lpstr>
      <vt:lpstr>Slab_Properties!f_r</vt:lpstr>
      <vt:lpstr>SSM_Example!f_r</vt:lpstr>
      <vt:lpstr>Drop_Slab_Properties!f_y</vt:lpstr>
      <vt:lpstr>Slab_Properties!f_y</vt:lpstr>
      <vt:lpstr>SSM_Example!f_y</vt:lpstr>
      <vt:lpstr>Drop_Slab_Properties!gamma</vt:lpstr>
      <vt:lpstr>Slab_Properties!gamma</vt:lpstr>
      <vt:lpstr>SSM_Example!gamma</vt:lpstr>
      <vt:lpstr>Drop_Slab_Properties!h</vt:lpstr>
      <vt:lpstr>Slab_Properties!h</vt:lpstr>
      <vt:lpstr>SSM_Example!h</vt:lpstr>
      <vt:lpstr>h_drop</vt:lpstr>
      <vt:lpstr>Drop_Slab_Properties!k_1</vt:lpstr>
      <vt:lpstr>Slab_Properties!k_1</vt:lpstr>
      <vt:lpstr>SSM_Example!k_1</vt:lpstr>
      <vt:lpstr>Drop_Slab_Properties!k_2</vt:lpstr>
      <vt:lpstr>Slab_Properties!k_2</vt:lpstr>
      <vt:lpstr>SSM_Example!k_2</vt:lpstr>
      <vt:lpstr>Drop_Slab_Properties!l_1</vt:lpstr>
      <vt:lpstr>Slab_Properties!l_1</vt:lpstr>
      <vt:lpstr>SSM_Example!l_1</vt:lpstr>
      <vt:lpstr>Drop_Slab_Properties!l_1c</vt:lpstr>
      <vt:lpstr>Slab_Properties!l_1c</vt:lpstr>
      <vt:lpstr>SSM_Example!l_1c</vt:lpstr>
      <vt:lpstr>Drop_Slab_Properties!l_1m</vt:lpstr>
      <vt:lpstr>Slab_Properties!l_1m</vt:lpstr>
      <vt:lpstr>SSM_Example!l_1m</vt:lpstr>
      <vt:lpstr>Drop_Slab_Properties!l_2</vt:lpstr>
      <vt:lpstr>Slab_Properties!l_2</vt:lpstr>
      <vt:lpstr>SSM_Example!l_2</vt:lpstr>
      <vt:lpstr>Drop_Slab_Properties!l_2c</vt:lpstr>
      <vt:lpstr>Slab_Properties!l_2c</vt:lpstr>
      <vt:lpstr>SSM_Example!l_2c</vt:lpstr>
      <vt:lpstr>Drop_Slab_Properties!l_2m</vt:lpstr>
      <vt:lpstr>Slab_Properties!l_2m</vt:lpstr>
      <vt:lpstr>SSM_Example!l_2m</vt:lpstr>
      <vt:lpstr>Drop_Slab_Properties!lambda_cw</vt:lpstr>
      <vt:lpstr>Slab_Properties!lambda_cw</vt:lpstr>
      <vt:lpstr>SSM_Example!lambda_cw</vt:lpstr>
      <vt:lpstr>Drop_Slab_Properties!lambda_i_sq</vt:lpstr>
      <vt:lpstr>Slab_Properties!lambda_i_sq</vt:lpstr>
      <vt:lpstr>SSM_Example!lambda_i_sq</vt:lpstr>
      <vt:lpstr>Drop_Slab_Properties!lambda_w</vt:lpstr>
      <vt:lpstr>Slab_Properties!lambda_w</vt:lpstr>
      <vt:lpstr>SSM_Example!lambda_w</vt:lpstr>
      <vt:lpstr>Drop_Slab_Properties!LL</vt:lpstr>
      <vt:lpstr>Slab_Properties!LL</vt:lpstr>
      <vt:lpstr>SSM_Example!LL</vt:lpstr>
      <vt:lpstr>Drop_Slab_Properties!LLvib</vt:lpstr>
      <vt:lpstr>Slab_Properties!LLvib</vt:lpstr>
      <vt:lpstr>SSM_Example!LLvib</vt:lpstr>
      <vt:lpstr>Drop_Slab_Properties!mass</vt:lpstr>
      <vt:lpstr>Slab_Properties!mass</vt:lpstr>
      <vt:lpstr>SSM_Example!mass</vt:lpstr>
      <vt:lpstr>Drop_Slab_Properties!n</vt:lpstr>
      <vt:lpstr>Slab_Properties!n</vt:lpstr>
      <vt:lpstr>SSM_Example!n</vt:lpstr>
      <vt:lpstr>Drop_Slab_Properties!nu</vt:lpstr>
      <vt:lpstr>Slab_Properties!nu</vt:lpstr>
      <vt:lpstr>SSM_Example!nu</vt:lpstr>
      <vt:lpstr>Drop_Slab_Properties!q_u</vt:lpstr>
      <vt:lpstr>SSM_Example!q_u</vt:lpstr>
      <vt:lpstr>q_u</vt:lpstr>
      <vt:lpstr>Drop_Slab_Properties!qu</vt:lpstr>
      <vt:lpstr>SSM_Example!qu</vt:lpstr>
      <vt:lpstr>qu</vt:lpstr>
      <vt:lpstr>Drop_Slab_Properties!SDL</vt:lpstr>
      <vt:lpstr>Slab_Properties!SDL</vt:lpstr>
      <vt:lpstr>SSM_Example!SDL</vt:lpstr>
      <vt:lpstr>Drop_Slab_Properties!SW</vt:lpstr>
      <vt:lpstr>Slab_Properties!SW</vt:lpstr>
      <vt:lpstr>SSM_Example!SW</vt:lpstr>
      <vt:lpstr>Drop_Slab_Properties!v</vt:lpstr>
      <vt:lpstr>Slab_Properties!v</vt:lpstr>
      <vt:lpstr>SSM_Example!v</vt:lpstr>
      <vt:lpstr>Drop_Slab_Properties!w_c</vt:lpstr>
      <vt:lpstr>Slab_Properties!w_c</vt:lpstr>
      <vt:lpstr>SSM_Example!w_c</vt:lpstr>
      <vt:lpstr>Drop_Slab_Properties!y_t</vt:lpstr>
      <vt:lpstr>Slab_Properties!y_t</vt:lpstr>
      <vt:lpstr>SSM_Example!y_t</vt:lpstr>
      <vt:lpstr>y_tdrop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2018-12-12T13:14:15Z</dcterms:modified>
</cp:coreProperties>
</file>