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OPENCLASSROOMS PAIE FRANCE\"/>
    </mc:Choice>
  </mc:AlternateContent>
  <bookViews>
    <workbookView xWindow="120" yWindow="130" windowWidth="15480" windowHeight="6510" firstSheet="3" activeTab="7"/>
  </bookViews>
  <sheets>
    <sheet name="logique Brut =&gt; NET" sheetId="33" r:id="rId1"/>
    <sheet name="Brut =&gt; NET" sheetId="62" r:id="rId2"/>
    <sheet name="Paramétrage tranche paie França" sheetId="47" r:id="rId3"/>
    <sheet name="Paramétrage tranche paie Fr (2" sheetId="48" r:id="rId4"/>
    <sheet name="PRORATA PSS" sheetId="64" r:id="rId5"/>
    <sheet name="RS" sheetId="55" r:id="rId6"/>
    <sheet name="Ind licen" sheetId="58" r:id="rId7"/>
    <sheet name="Hors PSE" sheetId="60" r:id="rId8"/>
    <sheet name="ICP ICCP" sheetId="56" r:id="rId9"/>
    <sheet name="IJSS" sheetId="57" r:id="rId10"/>
    <sheet name="Ajustement SMIC" sheetId="66" r:id="rId11"/>
    <sheet name="Allègements de cotisations" sheetId="63" r:id="rId12"/>
    <sheet name="Le calcul de l'absence au réel" sheetId="43" r:id="rId13"/>
    <sheet name="Taux cotisation P&amp;D" sheetId="38" r:id="rId14"/>
    <sheet name="EXERCICE" sheetId="42" r:id="rId15"/>
    <sheet name="suite EXERCICE" sheetId="46" r:id="rId16"/>
    <sheet name="modele BP avec calcul" sheetId="37" r:id="rId17"/>
    <sheet name="description bp" sheetId="34" r:id="rId18"/>
    <sheet name="ANCIEN DISPO" sheetId="44" r:id="rId19"/>
    <sheet name="CALCUL TPI MAROC" sheetId="65" r:id="rId20"/>
  </sheets>
  <calcPr calcId="162913"/>
</workbook>
</file>

<file path=xl/calcChain.xml><?xml version="1.0" encoding="utf-8"?>
<calcChain xmlns="http://schemas.openxmlformats.org/spreadsheetml/2006/main">
  <c r="E4" i="48" l="1"/>
  <c r="E3" i="48"/>
  <c r="L8" i="60" l="1"/>
  <c r="L2" i="60"/>
  <c r="H2" i="60"/>
  <c r="J8" i="60"/>
  <c r="I8" i="60"/>
  <c r="H8" i="60"/>
  <c r="G8" i="60"/>
  <c r="F8" i="60"/>
  <c r="E8" i="60"/>
  <c r="D8" i="60"/>
  <c r="K8" i="60"/>
  <c r="K2" i="60"/>
  <c r="M2" i="60" s="1"/>
  <c r="N2" i="60" s="1"/>
  <c r="J2" i="60"/>
  <c r="I2" i="60"/>
  <c r="F2" i="60"/>
  <c r="H76" i="63" l="1"/>
  <c r="H77" i="63"/>
  <c r="H55" i="63"/>
  <c r="H51" i="63"/>
  <c r="H54" i="63"/>
  <c r="J97" i="63" l="1"/>
  <c r="I97" i="63"/>
  <c r="D21" i="57" l="1"/>
  <c r="B27" i="66"/>
  <c r="B38" i="66"/>
  <c r="B36" i="66"/>
  <c r="B35" i="66"/>
  <c r="B37" i="66" s="1"/>
  <c r="B20" i="66"/>
  <c r="B24" i="66"/>
  <c r="B26" i="66" s="1"/>
  <c r="D18" i="57"/>
  <c r="D19" i="57"/>
  <c r="B23" i="66"/>
  <c r="B21" i="66"/>
  <c r="G184" i="63"/>
  <c r="I241" i="63"/>
  <c r="I242" i="63" s="1"/>
  <c r="I243" i="63" s="1"/>
  <c r="J237" i="63"/>
  <c r="I234" i="63"/>
  <c r="I235" i="63" s="1"/>
  <c r="J233" i="63"/>
  <c r="J234" i="63" s="1"/>
  <c r="H218" i="63"/>
  <c r="H219" i="63" s="1"/>
  <c r="H220" i="63" s="1"/>
  <c r="H211" i="63"/>
  <c r="H212" i="63" s="1"/>
  <c r="H196" i="63"/>
  <c r="H197" i="63" s="1"/>
  <c r="H198" i="63" s="1"/>
  <c r="H189" i="63"/>
  <c r="H190" i="63" s="1"/>
  <c r="C60" i="65"/>
  <c r="C59" i="65"/>
  <c r="C58" i="65"/>
  <c r="C57" i="65"/>
  <c r="C56" i="65"/>
  <c r="C55" i="65"/>
  <c r="C51" i="65"/>
  <c r="B55" i="65"/>
  <c r="C54" i="65"/>
  <c r="C53" i="65"/>
  <c r="C52" i="65"/>
  <c r="B40" i="65"/>
  <c r="B52" i="65"/>
  <c r="B57" i="65" s="1"/>
  <c r="B45" i="65"/>
  <c r="B44" i="65"/>
  <c r="B43" i="65"/>
  <c r="B42" i="65"/>
  <c r="B41" i="65"/>
  <c r="B47" i="65" s="1"/>
  <c r="C27" i="65"/>
  <c r="B27" i="65"/>
  <c r="C26" i="65"/>
  <c r="B26" i="65"/>
  <c r="B25" i="65"/>
  <c r="B24" i="65"/>
  <c r="C23" i="65"/>
  <c r="B23" i="65"/>
  <c r="B22" i="65"/>
  <c r="C20" i="65"/>
  <c r="C22" i="65" s="1"/>
  <c r="C24" i="65" s="1"/>
  <c r="C25" i="65" s="1"/>
  <c r="B20" i="65"/>
  <c r="B19" i="65"/>
  <c r="B40" i="66" l="1"/>
  <c r="B41" i="66"/>
  <c r="B39" i="66"/>
  <c r="J235" i="63"/>
  <c r="J238" i="63" s="1"/>
  <c r="J239" i="63" s="1"/>
  <c r="I238" i="63"/>
  <c r="I239" i="63" s="1"/>
  <c r="I240" i="63" s="1"/>
  <c r="I244" i="63" s="1"/>
  <c r="I245" i="63" s="1"/>
  <c r="H215" i="63"/>
  <c r="H216" i="63" s="1"/>
  <c r="H217" i="63" s="1"/>
  <c r="H221" i="63" s="1"/>
  <c r="H222" i="63" s="1"/>
  <c r="H193" i="63"/>
  <c r="H194" i="63" s="1"/>
  <c r="H195" i="63" s="1"/>
  <c r="H199" i="63" s="1"/>
  <c r="H200" i="63" s="1"/>
  <c r="J241" i="63"/>
  <c r="J242" i="63" s="1"/>
  <c r="J243" i="63" s="1"/>
  <c r="B53" i="65"/>
  <c r="B54" i="65"/>
  <c r="B48" i="65"/>
  <c r="B49" i="65" s="1"/>
  <c r="B51" i="65" s="1"/>
  <c r="M6" i="48"/>
  <c r="M5" i="48"/>
  <c r="M4" i="48"/>
  <c r="AB2" i="55"/>
  <c r="X2" i="55"/>
  <c r="B43" i="66" l="1"/>
  <c r="B42" i="66"/>
  <c r="I246" i="63"/>
  <c r="I247" i="63"/>
  <c r="H202" i="63"/>
  <c r="H201" i="63"/>
  <c r="H223" i="63"/>
  <c r="H224" i="63"/>
  <c r="J240" i="63"/>
  <c r="J244" i="63" s="1"/>
  <c r="J245" i="63" s="1"/>
  <c r="B56" i="65"/>
  <c r="B58" i="65" s="1"/>
  <c r="H129" i="63"/>
  <c r="H130" i="63" s="1"/>
  <c r="H131" i="63" s="1"/>
  <c r="H122" i="63"/>
  <c r="H123" i="63" s="1"/>
  <c r="H116" i="63"/>
  <c r="J246" i="63" l="1"/>
  <c r="J247" i="63"/>
  <c r="H126" i="63"/>
  <c r="H127" i="63" s="1"/>
  <c r="I96" i="63"/>
  <c r="J91" i="63"/>
  <c r="J92" i="63" s="1"/>
  <c r="J95" i="63"/>
  <c r="I99" i="63"/>
  <c r="I100" i="63" s="1"/>
  <c r="I101" i="63" s="1"/>
  <c r="I92" i="63"/>
  <c r="I93" i="63" s="1"/>
  <c r="J93" i="63" s="1"/>
  <c r="G86" i="63"/>
  <c r="H78" i="63"/>
  <c r="H69" i="63"/>
  <c r="H70" i="63" s="1"/>
  <c r="G64" i="63"/>
  <c r="H56" i="63"/>
  <c r="G42" i="63"/>
  <c r="H47" i="63"/>
  <c r="H48" i="63" s="1"/>
  <c r="J99" i="63" l="1"/>
  <c r="J100" i="63" s="1"/>
  <c r="J101" i="63" s="1"/>
  <c r="H128" i="63"/>
  <c r="H132" i="63" s="1"/>
  <c r="H133" i="63" s="1"/>
  <c r="H134" i="63" s="1"/>
  <c r="H52" i="63"/>
  <c r="H53" i="63" s="1"/>
  <c r="J96" i="63"/>
  <c r="J98" i="63"/>
  <c r="I98" i="63"/>
  <c r="I102" i="63" s="1"/>
  <c r="I103" i="63" s="1"/>
  <c r="H73" i="63"/>
  <c r="H74" i="63" s="1"/>
  <c r="H75" i="63" s="1"/>
  <c r="B14" i="62"/>
  <c r="B11" i="62"/>
  <c r="B2" i="62"/>
  <c r="B3" i="62" s="1"/>
  <c r="J102" i="63" l="1"/>
  <c r="J103" i="63" s="1"/>
  <c r="J105" i="63" s="1"/>
  <c r="H135" i="63"/>
  <c r="H79" i="63"/>
  <c r="H80" i="63" s="1"/>
  <c r="H82" i="63" s="1"/>
  <c r="I105" i="63"/>
  <c r="I104" i="63"/>
  <c r="H57" i="63"/>
  <c r="H58" i="63" s="1"/>
  <c r="B13" i="62"/>
  <c r="B17" i="62" s="1"/>
  <c r="G2" i="60"/>
  <c r="E2" i="60"/>
  <c r="D2" i="60"/>
  <c r="V5" i="55"/>
  <c r="V3" i="55"/>
  <c r="V2" i="55"/>
  <c r="L2" i="48"/>
  <c r="J104" i="63" l="1"/>
  <c r="H59" i="63"/>
  <c r="H60" i="63"/>
  <c r="H81" i="63"/>
  <c r="B22" i="57"/>
  <c r="B63" i="57"/>
  <c r="C76" i="57"/>
  <c r="D76" i="57" s="1"/>
  <c r="B76" i="57"/>
  <c r="E43" i="57"/>
  <c r="B65" i="57"/>
  <c r="B58" i="57"/>
  <c r="B52" i="57"/>
  <c r="C52" i="57"/>
  <c r="C46" i="57"/>
  <c r="B46" i="57"/>
  <c r="D45" i="57"/>
  <c r="E45" i="57" s="1"/>
  <c r="D44" i="57"/>
  <c r="E44" i="57" s="1"/>
  <c r="D43" i="57"/>
  <c r="B58" i="58"/>
  <c r="B51" i="58"/>
  <c r="E22" i="57"/>
  <c r="B52" i="56"/>
  <c r="B35" i="58"/>
  <c r="B28" i="58"/>
  <c r="B16" i="58"/>
  <c r="B15" i="58"/>
  <c r="M8" i="60" l="1"/>
  <c r="N8" i="60" s="1"/>
  <c r="D52" i="57"/>
  <c r="D46" i="57"/>
  <c r="E46" i="57"/>
  <c r="D54" i="56"/>
  <c r="C54" i="56"/>
  <c r="B53" i="56"/>
  <c r="B51" i="56"/>
  <c r="F43" i="57" l="1"/>
  <c r="G43" i="57" s="1"/>
  <c r="C58" i="57" s="1"/>
  <c r="B54" i="57"/>
  <c r="D54" i="57" s="1"/>
  <c r="B24" i="57"/>
  <c r="D24" i="57" s="1"/>
  <c r="C65" i="57" l="1"/>
  <c r="D65" i="57" s="1"/>
  <c r="D58" i="57"/>
  <c r="D62" i="57" s="1"/>
  <c r="D63" i="57" s="1"/>
  <c r="D68" i="57" s="1"/>
  <c r="B20" i="57"/>
  <c r="D20" i="57" s="1"/>
  <c r="C31" i="57"/>
  <c r="B31" i="57"/>
  <c r="D30" i="57"/>
  <c r="E30" i="57" s="1"/>
  <c r="D29" i="57"/>
  <c r="E29" i="57" s="1"/>
  <c r="D28" i="57"/>
  <c r="E28" i="57" s="1"/>
  <c r="D16" i="57"/>
  <c r="B18" i="57"/>
  <c r="C18" i="57"/>
  <c r="B19" i="57" l="1"/>
  <c r="B17" i="57"/>
  <c r="D17" i="57" s="1"/>
  <c r="D22" i="57"/>
  <c r="D25" i="57" s="1"/>
  <c r="E31" i="57"/>
  <c r="F28" i="57" s="1"/>
  <c r="G28" i="57" s="1"/>
  <c r="D31" i="57"/>
  <c r="D3" i="57"/>
  <c r="E3" i="57" s="1"/>
  <c r="D4" i="57"/>
  <c r="E4" i="57" s="1"/>
  <c r="D2" i="57"/>
  <c r="E2" i="57" s="1"/>
  <c r="J3" i="48"/>
  <c r="C5" i="57"/>
  <c r="B5" i="57"/>
  <c r="L3" i="48" l="1"/>
  <c r="J4" i="48"/>
  <c r="D5" i="57"/>
  <c r="E5" i="57"/>
  <c r="A28" i="43"/>
  <c r="E213" i="43"/>
  <c r="D213" i="43"/>
  <c r="I167" i="43"/>
  <c r="D175" i="43"/>
  <c r="D141" i="43"/>
  <c r="E141" i="43"/>
  <c r="K4" i="48" l="1"/>
  <c r="L4" i="48"/>
  <c r="F2" i="57"/>
  <c r="G2" i="57" s="1"/>
  <c r="C37" i="56"/>
  <c r="B37" i="56"/>
  <c r="C26" i="56"/>
  <c r="B26" i="56"/>
  <c r="C19" i="56"/>
  <c r="B19" i="56"/>
  <c r="E2" i="48" l="1"/>
  <c r="F2" i="48"/>
  <c r="L58" i="37" l="1"/>
  <c r="D40" i="42" l="1"/>
  <c r="F4" i="48" l="1"/>
  <c r="F3" i="48"/>
  <c r="E5" i="48"/>
  <c r="F5" i="48" s="1"/>
  <c r="D14" i="48"/>
  <c r="E6" i="48" l="1"/>
  <c r="B85" i="48"/>
  <c r="B84" i="48"/>
  <c r="B83" i="48"/>
  <c r="F6" i="48" l="1"/>
  <c r="E7" i="48"/>
  <c r="G14" i="48"/>
  <c r="H14" i="48"/>
  <c r="C2" i="48"/>
  <c r="M2" i="48" l="1"/>
  <c r="Q2" i="48"/>
  <c r="E8" i="48"/>
  <c r="F7" i="48"/>
  <c r="N2" i="48"/>
  <c r="C3" i="48"/>
  <c r="C4" i="48" l="1"/>
  <c r="M3" i="48"/>
  <c r="E9" i="48"/>
  <c r="F8" i="48"/>
  <c r="C5" i="48"/>
  <c r="C2" i="55"/>
  <c r="F2" i="55"/>
  <c r="K22" i="46"/>
  <c r="J22" i="46"/>
  <c r="E10" i="48" l="1"/>
  <c r="F9" i="48"/>
  <c r="C3" i="55"/>
  <c r="W3" i="55" s="1"/>
  <c r="Y3" i="55" s="1"/>
  <c r="W2" i="55"/>
  <c r="Y2" i="55" s="1"/>
  <c r="K2" i="55"/>
  <c r="I2" i="55"/>
  <c r="J2" i="55"/>
  <c r="H2" i="55"/>
  <c r="C6" i="48"/>
  <c r="T2" i="48"/>
  <c r="AG2" i="55"/>
  <c r="AD14" i="55"/>
  <c r="AH2" i="55"/>
  <c r="AF2" i="55"/>
  <c r="AE2" i="55"/>
  <c r="E3" i="55"/>
  <c r="D14" i="55"/>
  <c r="G2" i="55"/>
  <c r="E11" i="48" l="1"/>
  <c r="F10" i="48"/>
  <c r="S2" i="55"/>
  <c r="M2" i="55"/>
  <c r="P2" i="55"/>
  <c r="AI2" i="55"/>
  <c r="AJ2" i="55" s="1"/>
  <c r="AL2" i="55" s="1"/>
  <c r="C4" i="55"/>
  <c r="W4" i="55" s="1"/>
  <c r="K3" i="55"/>
  <c r="I3" i="55"/>
  <c r="H3" i="55"/>
  <c r="M3" i="55" s="1"/>
  <c r="C7" i="48"/>
  <c r="AG3" i="55"/>
  <c r="AE3" i="55"/>
  <c r="AH3" i="55"/>
  <c r="X3" i="55"/>
  <c r="E4" i="55"/>
  <c r="X4" i="55" s="1"/>
  <c r="F3" i="55"/>
  <c r="J3" i="55" s="1"/>
  <c r="AF3" i="55"/>
  <c r="G3" i="55"/>
  <c r="K22" i="42"/>
  <c r="K19" i="42"/>
  <c r="K18" i="42"/>
  <c r="U2" i="55" l="1"/>
  <c r="Z2" i="55"/>
  <c r="E12" i="48"/>
  <c r="F11" i="48"/>
  <c r="AN2" i="55"/>
  <c r="AE4" i="55"/>
  <c r="AE5" i="55" s="1"/>
  <c r="N2" i="55"/>
  <c r="I4" i="55"/>
  <c r="H4" i="55"/>
  <c r="M4" i="55" s="1"/>
  <c r="C8" i="48"/>
  <c r="AG4" i="55"/>
  <c r="AI3" i="55"/>
  <c r="AJ3" i="55" s="1"/>
  <c r="AL3" i="55" s="1"/>
  <c r="C5" i="55"/>
  <c r="G4" i="55"/>
  <c r="K4" i="55" s="1"/>
  <c r="AF4" i="55"/>
  <c r="F4" i="55"/>
  <c r="J4" i="55" s="1"/>
  <c r="AH4" i="55"/>
  <c r="V4" i="55"/>
  <c r="E5" i="55"/>
  <c r="F5" i="55" s="1"/>
  <c r="B14" i="55"/>
  <c r="E13" i="48" l="1"/>
  <c r="F12" i="48"/>
  <c r="I5" i="55"/>
  <c r="J5" i="55"/>
  <c r="H5" i="55"/>
  <c r="M5" i="55" s="1"/>
  <c r="K5" i="55"/>
  <c r="AN3" i="55"/>
  <c r="AG5" i="55"/>
  <c r="C9" i="48"/>
  <c r="C10" i="48" s="1"/>
  <c r="C11" i="48" s="1"/>
  <c r="C12" i="48" s="1"/>
  <c r="C6" i="55"/>
  <c r="W5" i="55"/>
  <c r="G5" i="55"/>
  <c r="X5" i="55"/>
  <c r="E6" i="55"/>
  <c r="V6" i="55" s="1"/>
  <c r="AH5" i="55"/>
  <c r="AF5" i="55"/>
  <c r="AE6" i="55"/>
  <c r="E14" i="48" l="1"/>
  <c r="F13" i="48"/>
  <c r="F14" i="48" s="1"/>
  <c r="AG6" i="55"/>
  <c r="H6" i="55"/>
  <c r="M6" i="55" s="1"/>
  <c r="I6" i="55"/>
  <c r="C13" i="48"/>
  <c r="C14" i="48" s="1"/>
  <c r="W6" i="55"/>
  <c r="C7" i="55"/>
  <c r="AH6" i="55"/>
  <c r="F6" i="55"/>
  <c r="J6" i="55" s="1"/>
  <c r="E7" i="55"/>
  <c r="F7" i="55" s="1"/>
  <c r="G6" i="55"/>
  <c r="K6" i="55" s="1"/>
  <c r="X6" i="55"/>
  <c r="AF6" i="55"/>
  <c r="AE7" i="55"/>
  <c r="AG7" i="55" l="1"/>
  <c r="J7" i="55"/>
  <c r="H7" i="55"/>
  <c r="M7" i="55" s="1"/>
  <c r="K7" i="55"/>
  <c r="I7" i="55"/>
  <c r="W7" i="55"/>
  <c r="X7" i="55"/>
  <c r="AF7" i="55"/>
  <c r="AH7" i="55"/>
  <c r="G7" i="55"/>
  <c r="E8" i="55"/>
  <c r="E9" i="55" s="1"/>
  <c r="V7" i="55"/>
  <c r="C8" i="55"/>
  <c r="AE8" i="55"/>
  <c r="X8" i="55"/>
  <c r="AG8" i="55" l="1"/>
  <c r="H8" i="55"/>
  <c r="I8" i="55"/>
  <c r="V8" i="55"/>
  <c r="AH8" i="55"/>
  <c r="AF8" i="55"/>
  <c r="F8" i="55"/>
  <c r="J8" i="55" s="1"/>
  <c r="C9" i="55"/>
  <c r="W8" i="55"/>
  <c r="G8" i="55"/>
  <c r="K8" i="55" s="1"/>
  <c r="AE9" i="55"/>
  <c r="AH9" i="55"/>
  <c r="AF9" i="55"/>
  <c r="X9" i="55"/>
  <c r="V9" i="55"/>
  <c r="F9" i="55"/>
  <c r="E10" i="55"/>
  <c r="G9" i="55"/>
  <c r="K67" i="48"/>
  <c r="I67" i="48" s="1"/>
  <c r="K66" i="48"/>
  <c r="AG9" i="55" l="1"/>
  <c r="J9" i="55"/>
  <c r="H9" i="55"/>
  <c r="K9" i="55"/>
  <c r="I9" i="55"/>
  <c r="W9" i="55"/>
  <c r="C10" i="55"/>
  <c r="W10" i="55" s="1"/>
  <c r="AE10" i="55"/>
  <c r="AF10" i="55"/>
  <c r="AH10" i="55"/>
  <c r="X10" i="55"/>
  <c r="V10" i="55"/>
  <c r="G10" i="55"/>
  <c r="F10" i="55"/>
  <c r="E11" i="55"/>
  <c r="J67" i="48"/>
  <c r="I36" i="42"/>
  <c r="K10" i="55" l="1"/>
  <c r="I10" i="55"/>
  <c r="J10" i="55"/>
  <c r="H10" i="55"/>
  <c r="M10" i="55" s="1"/>
  <c r="AG10" i="55"/>
  <c r="C11" i="55"/>
  <c r="AE11" i="55"/>
  <c r="AH11" i="55"/>
  <c r="AF11" i="55"/>
  <c r="V11" i="55"/>
  <c r="X11" i="55"/>
  <c r="G11" i="55"/>
  <c r="F11" i="55"/>
  <c r="E12" i="55"/>
  <c r="W11" i="55" l="1"/>
  <c r="I11" i="55"/>
  <c r="J11" i="55"/>
  <c r="H11" i="55"/>
  <c r="K11" i="55"/>
  <c r="N3" i="48"/>
  <c r="AG11" i="55"/>
  <c r="C12" i="55"/>
  <c r="W12" i="55" s="1"/>
  <c r="AE12" i="55"/>
  <c r="AF12" i="55"/>
  <c r="AH12" i="55"/>
  <c r="X12" i="55"/>
  <c r="V12" i="55"/>
  <c r="G12" i="55"/>
  <c r="F12" i="55"/>
  <c r="E13" i="55"/>
  <c r="I22" i="48"/>
  <c r="I23" i="48" s="1"/>
  <c r="AG12" i="55" l="1"/>
  <c r="K12" i="55"/>
  <c r="I12" i="55"/>
  <c r="J12" i="55"/>
  <c r="H12" i="55"/>
  <c r="C13" i="55"/>
  <c r="AG13" i="55" s="1"/>
  <c r="W13" i="55"/>
  <c r="W14" i="55" s="1"/>
  <c r="AE13" i="55"/>
  <c r="AF13" i="55"/>
  <c r="AH13" i="55"/>
  <c r="V13" i="55"/>
  <c r="X13" i="55"/>
  <c r="X14" i="55" s="1"/>
  <c r="G13" i="55"/>
  <c r="F13" i="55"/>
  <c r="M14" i="38"/>
  <c r="K13" i="55" l="1"/>
  <c r="K14" i="55" s="1"/>
  <c r="I13" i="55"/>
  <c r="J13" i="55"/>
  <c r="J14" i="55" s="1"/>
  <c r="H13" i="55"/>
  <c r="V14" i="55"/>
  <c r="O57" i="48"/>
  <c r="P57" i="48"/>
  <c r="S57" i="48" s="1"/>
  <c r="P64" i="48"/>
  <c r="P58" i="48"/>
  <c r="B14" i="48" l="1"/>
  <c r="L30" i="38"/>
  <c r="K58" i="48" l="1"/>
  <c r="I14" i="48" l="1"/>
  <c r="K2" i="48"/>
  <c r="O2" i="48" s="1"/>
  <c r="Q3" i="48" l="1"/>
  <c r="Q4" i="48" s="1"/>
  <c r="P2" i="48"/>
  <c r="U2" i="48"/>
  <c r="N4" i="48"/>
  <c r="K3" i="48"/>
  <c r="O3" i="48" s="1"/>
  <c r="O4" i="48" s="1"/>
  <c r="J5" i="48"/>
  <c r="L5" i="48" s="1"/>
  <c r="Q5" i="48" s="1"/>
  <c r="P3" i="48" l="1"/>
  <c r="P4" i="48" s="1"/>
  <c r="V2" i="48"/>
  <c r="S2" i="48"/>
  <c r="N5" i="48"/>
  <c r="J6" i="48"/>
  <c r="K5" i="48"/>
  <c r="F27" i="47"/>
  <c r="F25" i="47"/>
  <c r="F21" i="47"/>
  <c r="F18" i="47"/>
  <c r="F16" i="47"/>
  <c r="D14" i="47"/>
  <c r="P5" i="48" l="1"/>
  <c r="N6" i="48"/>
  <c r="V3" i="48"/>
  <c r="S3" i="48"/>
  <c r="O5" i="48"/>
  <c r="L6" i="48"/>
  <c r="Q6" i="48" s="1"/>
  <c r="T3" i="48"/>
  <c r="U3" i="48" s="1"/>
  <c r="T4" i="48"/>
  <c r="J7" i="48"/>
  <c r="K6" i="48"/>
  <c r="P6" i="48" l="1"/>
  <c r="M7" i="48"/>
  <c r="M8" i="48" s="1"/>
  <c r="U4" i="48"/>
  <c r="V5" i="48"/>
  <c r="S5" i="48"/>
  <c r="V4" i="48"/>
  <c r="S4" i="48"/>
  <c r="O6" i="48"/>
  <c r="V6" i="48" s="1"/>
  <c r="N7" i="48"/>
  <c r="N8" i="48" s="1"/>
  <c r="L7" i="48"/>
  <c r="Q7" i="48" s="1"/>
  <c r="P7" i="48" s="1"/>
  <c r="T5" i="48"/>
  <c r="J8" i="48"/>
  <c r="K7" i="48"/>
  <c r="F33" i="47"/>
  <c r="F31" i="47"/>
  <c r="G14" i="47"/>
  <c r="F14" i="47"/>
  <c r="E14" i="47"/>
  <c r="C14" i="47"/>
  <c r="U5" i="48" l="1"/>
  <c r="N9" i="48"/>
  <c r="O7" i="48"/>
  <c r="V7" i="48" s="1"/>
  <c r="L8" i="48"/>
  <c r="Q8" i="48" s="1"/>
  <c r="P8" i="48" s="1"/>
  <c r="T6" i="48"/>
  <c r="K8" i="48"/>
  <c r="J9" i="48"/>
  <c r="B81" i="46"/>
  <c r="E81" i="46" s="1"/>
  <c r="B80" i="46"/>
  <c r="E80" i="46" s="1"/>
  <c r="I78" i="46"/>
  <c r="I77" i="46"/>
  <c r="I76" i="46"/>
  <c r="B75" i="46"/>
  <c r="I75" i="46" s="1"/>
  <c r="I74" i="46"/>
  <c r="I73" i="46"/>
  <c r="I72" i="46"/>
  <c r="E70" i="46"/>
  <c r="B68" i="46"/>
  <c r="I68" i="46" s="1"/>
  <c r="B67" i="46"/>
  <c r="I67" i="46" s="1"/>
  <c r="B66" i="46"/>
  <c r="E66" i="46" s="1"/>
  <c r="B65" i="46"/>
  <c r="I65" i="46" s="1"/>
  <c r="I63" i="46"/>
  <c r="E63" i="46"/>
  <c r="B61" i="46"/>
  <c r="I61" i="46" s="1"/>
  <c r="B60" i="46"/>
  <c r="B62" i="46" s="1"/>
  <c r="B59" i="46"/>
  <c r="I59" i="46" s="1"/>
  <c r="I58" i="46"/>
  <c r="E58" i="46"/>
  <c r="B57" i="46"/>
  <c r="I57" i="46" s="1"/>
  <c r="I56" i="46"/>
  <c r="G42" i="46"/>
  <c r="G41" i="46"/>
  <c r="I36" i="46"/>
  <c r="I35" i="46"/>
  <c r="I34" i="46"/>
  <c r="I32" i="46"/>
  <c r="I31" i="46"/>
  <c r="I30" i="46"/>
  <c r="I28" i="46"/>
  <c r="J28" i="46" s="1"/>
  <c r="I27" i="46"/>
  <c r="G27" i="46"/>
  <c r="J27" i="46" s="1"/>
  <c r="J26" i="46"/>
  <c r="I26" i="46"/>
  <c r="G26" i="46"/>
  <c r="I25" i="46"/>
  <c r="G25" i="46"/>
  <c r="I23" i="46"/>
  <c r="J23" i="46" s="1"/>
  <c r="I22" i="46"/>
  <c r="D40" i="46" s="1"/>
  <c r="G40" i="46" s="1"/>
  <c r="G22" i="46"/>
  <c r="I20" i="46"/>
  <c r="G20" i="46"/>
  <c r="J20" i="46" s="1"/>
  <c r="I19" i="46"/>
  <c r="D37" i="46" s="1"/>
  <c r="I37" i="46" s="1"/>
  <c r="G19" i="46"/>
  <c r="J19" i="46" s="1"/>
  <c r="I18" i="46"/>
  <c r="J18" i="46" s="1"/>
  <c r="G18" i="46"/>
  <c r="I17" i="46"/>
  <c r="G17" i="46"/>
  <c r="I16" i="46"/>
  <c r="N4" i="46"/>
  <c r="K19" i="46" s="1"/>
  <c r="N3" i="46"/>
  <c r="M3" i="46"/>
  <c r="U6" i="48" l="1"/>
  <c r="L9" i="48"/>
  <c r="Q9" i="48" s="1"/>
  <c r="P9" i="48" s="1"/>
  <c r="M9" i="48"/>
  <c r="O8" i="48"/>
  <c r="V8" i="48" s="1"/>
  <c r="J17" i="46"/>
  <c r="J25" i="46"/>
  <c r="S6" i="48"/>
  <c r="K9" i="48"/>
  <c r="J10" i="48"/>
  <c r="S7" i="48"/>
  <c r="B64" i="46"/>
  <c r="I64" i="46" s="1"/>
  <c r="I66" i="46"/>
  <c r="E65" i="46"/>
  <c r="E67" i="46"/>
  <c r="I62" i="46"/>
  <c r="E62" i="46"/>
  <c r="E57" i="46"/>
  <c r="E61" i="46"/>
  <c r="E64" i="46"/>
  <c r="E68" i="46"/>
  <c r="I60" i="46"/>
  <c r="K18" i="46"/>
  <c r="O9" i="48" l="1"/>
  <c r="V9" i="48" s="1"/>
  <c r="L10" i="48"/>
  <c r="Q10" i="48" s="1"/>
  <c r="P10" i="48" s="1"/>
  <c r="N10" i="48"/>
  <c r="N11" i="48" s="1"/>
  <c r="M10" i="48"/>
  <c r="T7" i="48"/>
  <c r="U7" i="48" s="1"/>
  <c r="J11" i="48"/>
  <c r="K10" i="48"/>
  <c r="S8" i="48"/>
  <c r="N4" i="42"/>
  <c r="M3" i="42"/>
  <c r="N3" i="42"/>
  <c r="O10" i="48" l="1"/>
  <c r="V10" i="48" s="1"/>
  <c r="L11" i="48"/>
  <c r="Q11" i="48" s="1"/>
  <c r="P11" i="48" s="1"/>
  <c r="M11" i="48"/>
  <c r="T8" i="48"/>
  <c r="U8" i="48" s="1"/>
  <c r="J12" i="48"/>
  <c r="N12" i="48" s="1"/>
  <c r="K11" i="48"/>
  <c r="I32" i="42"/>
  <c r="I22" i="42"/>
  <c r="I23" i="42"/>
  <c r="I19" i="42"/>
  <c r="I20" i="42"/>
  <c r="O11" i="48" l="1"/>
  <c r="V11" i="48" s="1"/>
  <c r="L12" i="48"/>
  <c r="Q12" i="48" s="1"/>
  <c r="P12" i="48" s="1"/>
  <c r="M12" i="48"/>
  <c r="D37" i="42"/>
  <c r="T9" i="48"/>
  <c r="U9" i="48" s="1"/>
  <c r="S9" i="48"/>
  <c r="K12" i="48"/>
  <c r="J13" i="48"/>
  <c r="M18" i="38"/>
  <c r="J37" i="38"/>
  <c r="O12" i="48" l="1"/>
  <c r="V12" i="48" s="1"/>
  <c r="N13" i="48"/>
  <c r="M13" i="48"/>
  <c r="T10" i="48"/>
  <c r="U10" i="48" s="1"/>
  <c r="S10" i="48"/>
  <c r="K13" i="48"/>
  <c r="L13" i="48"/>
  <c r="Q13" i="48" s="1"/>
  <c r="P13" i="48" s="1"/>
  <c r="O13" i="48" l="1"/>
  <c r="V13" i="48" s="1"/>
  <c r="T11" i="48"/>
  <c r="U11" i="48" s="1"/>
  <c r="S11" i="48"/>
  <c r="T12" i="48" l="1"/>
  <c r="U12" i="48" s="1"/>
  <c r="S12" i="48"/>
  <c r="P14" i="48" l="1"/>
  <c r="Q14" i="48"/>
  <c r="V14" i="48"/>
  <c r="N14" i="48"/>
  <c r="M14" i="48"/>
  <c r="T13" i="48"/>
  <c r="U13" i="48" s="1"/>
  <c r="S13" i="48"/>
  <c r="S14" i="48" s="1"/>
  <c r="O14" i="48"/>
  <c r="N14" i="38"/>
  <c r="Q15" i="48" l="1"/>
  <c r="U14" i="48"/>
  <c r="S15" i="48"/>
  <c r="O15" i="48"/>
  <c r="T14" i="48"/>
  <c r="V15" i="48" s="1"/>
  <c r="I97" i="44"/>
  <c r="U15" i="48" l="1"/>
  <c r="T18" i="48" s="1"/>
  <c r="T19" i="48"/>
  <c r="I53" i="44"/>
  <c r="G8" i="43" l="1"/>
  <c r="H8" i="43" l="1"/>
  <c r="I8" i="43" s="1"/>
  <c r="F9" i="43"/>
  <c r="I37" i="42" l="1"/>
  <c r="I35" i="42"/>
  <c r="G20" i="42"/>
  <c r="J20" i="42" s="1"/>
  <c r="I31" i="42"/>
  <c r="I34" i="42" l="1"/>
  <c r="I25" i="42"/>
  <c r="I27" i="42"/>
  <c r="I28" i="42"/>
  <c r="J28" i="42" s="1"/>
  <c r="I26" i="42"/>
  <c r="J23" i="42"/>
  <c r="G42" i="42"/>
  <c r="G41" i="42"/>
  <c r="G27" i="42"/>
  <c r="G26" i="42"/>
  <c r="G25" i="42"/>
  <c r="G17" i="42"/>
  <c r="G18" i="42"/>
  <c r="I18" i="42"/>
  <c r="I17" i="42"/>
  <c r="G19" i="42"/>
  <c r="J19" i="42" s="1"/>
  <c r="I30" i="42"/>
  <c r="G22" i="42"/>
  <c r="J22" i="42" s="1"/>
  <c r="I16" i="42"/>
  <c r="G40" i="42" l="1"/>
  <c r="J27" i="42"/>
  <c r="J25" i="42"/>
  <c r="J26" i="42"/>
  <c r="J17" i="42"/>
  <c r="J18" i="42"/>
  <c r="Y9" i="55" l="1"/>
  <c r="Y11" i="55"/>
  <c r="Y6" i="55"/>
  <c r="AI13" i="55"/>
  <c r="AJ13" i="55" s="1"/>
  <c r="Y12" i="55"/>
  <c r="Y5" i="55"/>
  <c r="AI8" i="55"/>
  <c r="AJ8" i="55" s="1"/>
  <c r="AI9" i="55"/>
  <c r="AJ9" i="55" s="1"/>
  <c r="AI11" i="55"/>
  <c r="AJ11" i="55" s="1"/>
  <c r="AI4" i="55"/>
  <c r="AJ4" i="55" s="1"/>
  <c r="AN4" i="55" s="1"/>
  <c r="AI7" i="55"/>
  <c r="AJ7" i="55" s="1"/>
  <c r="AI10" i="55"/>
  <c r="AJ10" i="55" s="1"/>
  <c r="Y7" i="55"/>
  <c r="AI12" i="55"/>
  <c r="AJ12" i="55" s="1"/>
  <c r="Y4" i="55"/>
  <c r="Y8" i="55"/>
  <c r="AI5" i="55"/>
  <c r="AJ5" i="55" s="1"/>
  <c r="Y13" i="55"/>
  <c r="AI6" i="55"/>
  <c r="AJ6" i="55" s="1"/>
  <c r="Y10" i="55"/>
  <c r="AN5" i="55" l="1"/>
  <c r="AO2" i="55"/>
  <c r="AL4" i="55"/>
  <c r="T2" i="55"/>
  <c r="AN6" i="55"/>
  <c r="AN12" i="55"/>
  <c r="AN11" i="55"/>
  <c r="AN13" i="55"/>
  <c r="AK2" i="55"/>
  <c r="AN9" i="55"/>
  <c r="AN10" i="55"/>
  <c r="AN7" i="55"/>
  <c r="AN8" i="55"/>
  <c r="Z3" i="55"/>
  <c r="AK3" i="55" l="1"/>
  <c r="AK4" i="55" s="1"/>
  <c r="AK5" i="55" s="1"/>
  <c r="AK6" i="55" s="1"/>
  <c r="AK7" i="55" s="1"/>
  <c r="AK8" i="55" s="1"/>
  <c r="AK9" i="55" s="1"/>
  <c r="AK10" i="55" s="1"/>
  <c r="AK11" i="55" s="1"/>
  <c r="AK12" i="55" s="1"/>
  <c r="AK13" i="55" s="1"/>
  <c r="Z4" i="55"/>
  <c r="Z5" i="55" s="1"/>
  <c r="Z6" i="55" s="1"/>
  <c r="Z7" i="55" s="1"/>
  <c r="Z8" i="55" s="1"/>
  <c r="Z9" i="55" s="1"/>
  <c r="Z10" i="55" s="1"/>
  <c r="Z11" i="55" s="1"/>
  <c r="Z12" i="55" s="1"/>
  <c r="Z13" i="55" s="1"/>
  <c r="P3" i="55"/>
  <c r="AL5" i="55"/>
  <c r="AL6" i="55" s="1"/>
  <c r="AL7" i="55" s="1"/>
  <c r="AL8" i="55" s="1"/>
  <c r="AL9" i="55" s="1"/>
  <c r="AL10" i="55" s="1"/>
  <c r="AL11" i="55" s="1"/>
  <c r="AL12" i="55" s="1"/>
  <c r="AL13" i="55" s="1"/>
  <c r="N3" i="55"/>
  <c r="S3" i="55"/>
  <c r="T3" i="55" s="1"/>
  <c r="Q2" i="55"/>
  <c r="I14" i="55"/>
  <c r="AO3" i="55"/>
  <c r="AO4" i="55" s="1"/>
  <c r="U3" i="55" l="1"/>
  <c r="AA2" i="55"/>
  <c r="AM2" i="55" s="1"/>
  <c r="AC2" i="55"/>
  <c r="Z14" i="55"/>
  <c r="AK14" i="55"/>
  <c r="AL14" i="55"/>
  <c r="S4" i="55"/>
  <c r="T4" i="55" s="1"/>
  <c r="P4" i="55"/>
  <c r="Q3" i="55"/>
  <c r="AB3" i="55" s="1"/>
  <c r="N4" i="55"/>
  <c r="AO5" i="55"/>
  <c r="U4" i="55" l="1"/>
  <c r="AC3" i="55"/>
  <c r="N5" i="55"/>
  <c r="P6" i="55"/>
  <c r="P5" i="55"/>
  <c r="AA3" i="55"/>
  <c r="Q4" i="55"/>
  <c r="S5" i="55"/>
  <c r="T5" i="55" s="1"/>
  <c r="AO6" i="55"/>
  <c r="U5" i="55" l="1"/>
  <c r="AA4" i="55"/>
  <c r="AB4" i="55"/>
  <c r="AC4" i="55" s="1"/>
  <c r="P7" i="55"/>
  <c r="S6" i="55"/>
  <c r="T6" i="55" s="1"/>
  <c r="Q5" i="55"/>
  <c r="AO7" i="55"/>
  <c r="U6" i="55" l="1"/>
  <c r="S7" i="55"/>
  <c r="T7" i="55" s="1"/>
  <c r="P8" i="55"/>
  <c r="AA5" i="55"/>
  <c r="N6" i="55"/>
  <c r="Q6" i="55"/>
  <c r="Q7" i="55" s="1"/>
  <c r="AB5" i="55"/>
  <c r="AC5" i="55" s="1"/>
  <c r="AO8" i="55"/>
  <c r="U7" i="55" l="1"/>
  <c r="S8" i="55"/>
  <c r="Q8" i="55"/>
  <c r="M8" i="55"/>
  <c r="U8" i="55" s="1"/>
  <c r="P9" i="55"/>
  <c r="AB6" i="55"/>
  <c r="AC6" i="55" s="1"/>
  <c r="AA6" i="55"/>
  <c r="N7" i="55"/>
  <c r="AB7" i="55" s="1"/>
  <c r="AC7" i="55" s="1"/>
  <c r="AO9" i="55"/>
  <c r="AA7" i="55" l="1"/>
  <c r="S9" i="55"/>
  <c r="P10" i="55"/>
  <c r="M9" i="55"/>
  <c r="U9" i="55" s="1"/>
  <c r="Q9" i="55"/>
  <c r="T8" i="55"/>
  <c r="N8" i="55"/>
  <c r="AB8" i="55" s="1"/>
  <c r="AC8" i="55" s="1"/>
  <c r="AO10" i="55"/>
  <c r="T9" i="55" l="1"/>
  <c r="S10" i="55"/>
  <c r="U10" i="55" s="1"/>
  <c r="P11" i="55"/>
  <c r="Q10" i="55"/>
  <c r="AA8" i="55"/>
  <c r="N9" i="55"/>
  <c r="AO11" i="55"/>
  <c r="N10" i="55" l="1"/>
  <c r="T10" i="55"/>
  <c r="AB10" i="55" s="1"/>
  <c r="P12" i="55"/>
  <c r="M11" i="55"/>
  <c r="S11" i="55"/>
  <c r="AB9" i="55"/>
  <c r="AC9" i="55" s="1"/>
  <c r="AA9" i="55"/>
  <c r="Q11" i="55"/>
  <c r="AO12" i="55"/>
  <c r="U11" i="55" l="1"/>
  <c r="AA10" i="55"/>
  <c r="T11" i="55"/>
  <c r="S12" i="55"/>
  <c r="Q12" i="55"/>
  <c r="P13" i="55"/>
  <c r="P14" i="55" s="1"/>
  <c r="M12" i="55"/>
  <c r="U12" i="55" s="1"/>
  <c r="N11" i="55"/>
  <c r="AC10" i="55"/>
  <c r="AO13" i="55"/>
  <c r="AB11" i="55" l="1"/>
  <c r="AC11" i="55" s="1"/>
  <c r="M13" i="55"/>
  <c r="H14" i="55"/>
  <c r="T12" i="55"/>
  <c r="S13" i="55"/>
  <c r="S14" i="55" s="1"/>
  <c r="AA11" i="55"/>
  <c r="N12" i="55"/>
  <c r="AO14" i="55"/>
  <c r="Q13" i="55"/>
  <c r="M14" i="55" l="1"/>
  <c r="U13" i="55"/>
  <c r="N13" i="55"/>
  <c r="AB12" i="55"/>
  <c r="AC12" i="55" s="1"/>
  <c r="U14" i="55"/>
  <c r="T13" i="55"/>
  <c r="AA12" i="55"/>
  <c r="U15" i="55" l="1"/>
  <c r="AA13" i="55"/>
  <c r="AA14" i="55" s="1"/>
  <c r="AB13" i="55"/>
  <c r="AC13" i="55" s="1"/>
  <c r="AC14" i="55" s="1"/>
</calcChain>
</file>

<file path=xl/sharedStrings.xml><?xml version="1.0" encoding="utf-8"?>
<sst xmlns="http://schemas.openxmlformats.org/spreadsheetml/2006/main" count="2168" uniqueCount="1298">
  <si>
    <t>Base</t>
  </si>
  <si>
    <t>Taux</t>
  </si>
  <si>
    <t>Net à payer</t>
  </si>
  <si>
    <t>Maîtrisez la notion de “coût réel du travail”</t>
  </si>
  <si>
    <t>Exemple : votre bulletin indique un salaire brut de 2 500 € ; si on calcule 45 % de ce salaire, on trouve un taux moyen de cotisations patronales de 1 125 €. Si vous avez suivi, le coût réel du travail, ce que l’employeur va réellement payer ce mois-ci pour verser la rémunération qui correspond au travail que vous avez effectué, est alors de 2 500 € + 1 125 €, soit un coût réel (ou un salaire super brut) de 3 625 €.</t>
  </si>
  <si>
    <t>Gérez les différents aspects du salaire</t>
  </si>
  <si>
    <t>Le salaire de base</t>
  </si>
  <si>
    <t>Le salaire brut</t>
  </si>
  <si>
    <t>Le salaire brut correspond au salaire avant déduction des cotisations sociales.</t>
  </si>
  <si>
    <t>Exemple :</t>
  </si>
  <si>
    <t>Le salaire net imposable</t>
  </si>
  <si>
    <r>
      <t>Vous l’aurez donc compris, le </t>
    </r>
    <r>
      <rPr>
        <b/>
        <sz val="10"/>
        <color rgb="FF000000"/>
        <rFont val="Arial"/>
        <family val="2"/>
      </rPr>
      <t>salaire net imposable</t>
    </r>
    <r>
      <rPr>
        <sz val="10"/>
        <color rgb="FF000000"/>
        <rFont val="Arial"/>
        <family val="2"/>
      </rPr>
      <t> est la fraction du salaire qui va servir de base de calcul pour l’impôt sur le revenu. C’est ce que vous devez </t>
    </r>
    <r>
      <rPr>
        <b/>
        <sz val="10"/>
        <color rgb="FF000000"/>
        <rFont val="Arial"/>
        <family val="2"/>
      </rPr>
      <t>déclarer</t>
    </r>
    <r>
      <rPr>
        <sz val="10"/>
        <color rgb="FF000000"/>
        <rFont val="Arial"/>
        <family val="2"/>
      </rPr>
      <t> chaque année aux autorités fiscales pour qu’elles calculent le montant que vous aurez à payer l’année suivante.</t>
    </r>
  </si>
  <si>
    <r>
      <t>Depuis le 1er janvier 2019, ce montant sert également de base de calcul pour la rubrique de </t>
    </r>
    <r>
      <rPr>
        <b/>
        <sz val="10"/>
        <color rgb="FF000000"/>
        <rFont val="Arial"/>
        <family val="2"/>
      </rPr>
      <t>prélèvement à la source</t>
    </r>
    <r>
      <rPr>
        <sz val="10"/>
        <color rgb="FF000000"/>
        <rFont val="Arial"/>
        <family val="2"/>
      </rPr>
      <t>, donc pour le calcul du montant mensuel de l'impôt sur le revenu qui sera déduit du salaire net des salariés. Attention, il existe bien évidemment des exceptions (indemnités journalières de Sécurité sociale, contrats de courte durée, apprentis et stagiaires...) pour lesquelles la base sera différente du salaire net imposable.</t>
    </r>
  </si>
  <si>
    <t>Le calcul du salaire net imposable est donc égal à :</t>
  </si>
  <si>
    <t>salaire brut (soumis à cotisations), MOINS :</t>
  </si>
  <si>
    <t>les cotisations sociales salariales déductibles ;</t>
  </si>
  <si>
    <t>la CSG déductible.</t>
  </si>
  <si>
    <t>Mais il faut également ajouter à ce montant les éléments suivants :</t>
  </si>
  <si>
    <t>la part patronale de la mutuelle ;</t>
  </si>
  <si>
    <t>la partie imposable des indemnités de départ (licenciement, rupture conventionnelle ou mise à la retraite, par exemple) ;</t>
  </si>
  <si>
    <t>le montant de la participation ou de l'intéressement en cas de versement direct.</t>
  </si>
  <si>
    <t>C'est généralement le montant du salaire net imposable qui servira de base de calcul pour le montant du prélèvement à la source chaque mois sur le bulletin de salaire. </t>
  </si>
  <si>
    <t>Le salaire net avant impôt sur le revenu</t>
  </si>
  <si>
    <r>
      <t>Depuis le 1er janvier 2019, nous appliquons en France le </t>
    </r>
    <r>
      <rPr>
        <b/>
        <sz val="10"/>
        <color rgb="FF000000"/>
        <rFont val="Arial"/>
        <family val="2"/>
      </rPr>
      <t>prélèvement à la source</t>
    </r>
    <r>
      <rPr>
        <sz val="10"/>
        <color rgb="FF000000"/>
        <rFont val="Arial"/>
        <family val="2"/>
      </rPr>
      <t>, ce qui signifie que l'employeur déduit chaque mois du salaire de ses employés le montant mensuel de leur impôt sur le revenu selon des modalités de calcul fixées par l'administration fiscale, et en fonction de la situation de chaque employé, mais aussi de ses </t>
    </r>
    <r>
      <rPr>
        <b/>
        <sz val="10"/>
        <color rgb="FF000000"/>
        <rFont val="Arial"/>
        <family val="2"/>
      </rPr>
      <t>revenus mensuels</t>
    </r>
    <r>
      <rPr>
        <sz val="10"/>
        <color rgb="FF000000"/>
        <rFont val="Arial"/>
        <family val="2"/>
      </rPr>
      <t>.</t>
    </r>
  </si>
  <si>
    <t>Le salaire net</t>
  </si>
  <si>
    <r>
      <t>Ce montant correspond à ce que vous recevez chaque mois sur votre compte bancaire. Pour le calculer, on part du salaire de base et des éléments de rémunération soumis à cotisations sociales, qui forment le salaire brut. Ensuite, on calcule les cotisations sociales salariales à partir du salaire brut, on les déduit de ce montant, et cela donne le salaire net imposable. Le</t>
    </r>
    <r>
      <rPr>
        <b/>
        <sz val="10"/>
        <color rgb="FF000000"/>
        <rFont val="Arial"/>
        <family val="2"/>
      </rPr>
      <t> net imposable</t>
    </r>
    <r>
      <rPr>
        <sz val="10"/>
        <color rgb="FF000000"/>
        <rFont val="Arial"/>
        <family val="2"/>
      </rPr>
      <t> est ensuite utilisé pour calculer le montant du prélèvement à la source qui sera déduit du salaire net du salarié, pour donner le montant net qui sera versé sur son compte bancaire à la fin du mois.</t>
    </r>
  </si>
  <si>
    <t>Salaire brut = 3 586,59 €</t>
  </si>
  <si>
    <t>Cotisations salariales = 707,51 €</t>
  </si>
  <si>
    <t>Salaire net imposable = 3 586,59 – 707,51 = 2 879,08 €</t>
  </si>
  <si>
    <t>Pour trouver le salaire net, il faut maintenant déduire du salaire net imposable le montant correspondant à la CSG non déductible et à la CRDS non déductible, ainsi que le montant correspondant à la réintégration fiscale, le cas échéant. Dans cet exemple, il n'y a pas de réintégration fiscale.</t>
  </si>
  <si>
    <t>Il faut éventuellement y rajouter les remboursements qui doivent se faire en net, soit le remboursement du forfait Navigo ou de frais professionnels. </t>
  </si>
  <si>
    <t>Enfin, il faut calculer le montant du prélèvement à la source. Dans ce cas, je vous propose d'appliquer un taux non personnalisé correspondant au salaire net imposable ci-dessus. Nous appliquons donc un taux de 9,90 % à la base de 2 879,08 €.</t>
  </si>
  <si>
    <t>2 879,08 * 9,90 % = 285.03</t>
  </si>
  <si>
    <t>Salaire net = 2 879,08 – 85,20 – 17,75 – 285,03 = 2 491,10 €.</t>
  </si>
  <si>
    <t>Ce montant est sensiblement plus bas que ce que le salarié avait l'habitude de gagner, mais il faut garder à l'esprit qu'il s'agit d'un net d'impôt.</t>
  </si>
  <si>
    <t>COP = 45% Sbrut</t>
  </si>
  <si>
    <t>C'est le point de départ de votre rémunération mensuelle.</t>
  </si>
  <si>
    <r>
      <t>Il serait de considérer le salaire indiqué dans le contrat de travail comme le "</t>
    </r>
    <r>
      <rPr>
        <b/>
        <sz val="10"/>
        <color rgb="FF000000"/>
        <rFont val="Arial"/>
        <family val="2"/>
      </rPr>
      <t>salaire de base</t>
    </r>
    <r>
      <rPr>
        <sz val="10"/>
        <color rgb="FF000000"/>
        <rFont val="Arial"/>
        <family val="2"/>
      </rPr>
      <t>" d’autres éléments vont s’ajouter à ce salaire de base, et vont alors donner ce que l’on appelle le “salaire brut”.</t>
    </r>
  </si>
  <si>
    <t>Donc, ce qu’on entend par “brut”, c’est un montant qui va servir de base de calcul pour déterminer le net à payer aux salariés.</t>
  </si>
  <si>
    <r>
      <rPr>
        <b/>
        <sz val="10"/>
        <color rgb="FF000000"/>
        <rFont val="Arial"/>
        <family val="2"/>
      </rPr>
      <t>les éléments du brut non imposables</t>
    </r>
    <r>
      <rPr>
        <sz val="10"/>
        <color rgb="FF000000"/>
        <rFont val="Arial"/>
        <family val="2"/>
      </rPr>
      <t>. Par exemple les heures supplémentaires qui, depuis 2019, sont exonérées d'impôt sur le revenu dans la limite de 5 000 € par an. Depuis 2020 et la crise du Covid, ces limites ont été revues à la hausse. ;</t>
    </r>
  </si>
  <si>
    <t>En conséquence, une nouvelle rubrique doit apparaître sur le bulletin de salaire, à savoir une rubrique intitulée "Salaire net avant impôt sur le revenu", donc avant la déduction du montant mensuel de l'impôt sur le revenu.</t>
  </si>
  <si>
    <t>Pour le mois de mars, quel sera le salaire brut de notre salarié ?</t>
  </si>
  <si>
    <t>Salaire de base : 2 500 euros.</t>
  </si>
  <si>
    <t>Absence maladie : – 258 euros.</t>
  </si>
  <si>
    <t>Maintien de salaire : + 130 euros.</t>
  </si>
  <si>
    <t>IJSS brutes : – 110 euros.</t>
  </si>
  <si>
    <t>Salaire brut de mars : 2 262 euros.</t>
  </si>
  <si>
    <t>Nature du plafond</t>
  </si>
  <si>
    <t>Plafond</t>
  </si>
  <si>
    <t>Période</t>
  </si>
  <si>
    <t>SMIC : 10,15 €/h</t>
  </si>
  <si>
    <t>Plafond SS mensuel : 3 428 €</t>
  </si>
  <si>
    <t>Entreprise</t>
  </si>
  <si>
    <t>Moins de 11 salariés,</t>
  </si>
  <si>
    <t>Cotise à une prévoyance, une garantie de maintien de salaire et une mutuelle</t>
  </si>
  <si>
    <t>Ces cotisations satisfont toutes les conditions d’exonération de cotisations sociales (hors CSG RDS) à savoir :</t>
  </si>
  <si>
    <t>Versement des cotisations à une institution de prévoyance, mutuelle, entreprise d’assurance, institution de gestion de retraite supplémentaire</t>
  </si>
  <si>
    <t>Couverture mise en place soit par convention collective ou accord collectif, soit par ratification d’un accord proposé par l’employeur, soit par décision unilatérale de l’employeur communiquée par écrit à chaque intéressé,</t>
  </si>
  <si>
    <t>Couverture présentant un caractère collectif c-a-d bénéficiant à l’ensemble du personnel ou à des catégories objectives,</t>
  </si>
  <si>
    <t>Adhésion des salariés obligatoire,</t>
  </si>
  <si>
    <t>Les contributions patronales ne se substituent pas à d’autres éléments de rémunération.</t>
  </si>
  <si>
    <t>Les cotisations patronales de prévoyance et de mutuelle contribuent à la base de la cotisation CSG RDS sans bénéficier de l’abattement forfaitaire pour frais professionnel,</t>
  </si>
  <si>
    <t>La cotisation patronale de mutuelle, parce qu’elle est destinée à couvrir des frais de santé, est soumise à l’impôt sur le revenu du salarié,</t>
  </si>
  <si>
    <t>Soumise à la taxe d’apprentissage.</t>
  </si>
  <si>
    <t>Salarié</t>
  </si>
  <si>
    <t>Non cadre,</t>
  </si>
  <si>
    <t>35 h/semaine.</t>
  </si>
  <si>
    <t>Prélèvement à la source : le salarié n’a pas souhaité communiquer son taux d’imposition à son employeur, le logiciel calcule le taux non personnalisé à appliquer.</t>
  </si>
  <si>
    <t>Exemple de fiche de paie</t>
  </si>
  <si>
    <r>
      <rPr>
        <b/>
        <i/>
        <sz val="8"/>
        <rFont val="Arial"/>
        <family val="2"/>
      </rPr>
      <t>GAINS</t>
    </r>
  </si>
  <si>
    <r>
      <rPr>
        <sz val="8"/>
        <rFont val="Arial MT"/>
        <family val="2"/>
      </rPr>
      <t>Désignation</t>
    </r>
  </si>
  <si>
    <r>
      <rPr>
        <sz val="8"/>
        <rFont val="Arial MT"/>
        <family val="2"/>
      </rPr>
      <t>Base</t>
    </r>
  </si>
  <si>
    <r>
      <rPr>
        <sz val="8"/>
        <rFont val="Arial MT"/>
        <family val="2"/>
      </rPr>
      <t>Taux</t>
    </r>
  </si>
  <si>
    <r>
      <rPr>
        <sz val="8"/>
        <rFont val="Arial MT"/>
        <family val="2"/>
      </rPr>
      <t>Montant</t>
    </r>
  </si>
  <si>
    <r>
      <rPr>
        <sz val="8"/>
        <rFont val="Arial MT"/>
        <family val="2"/>
      </rPr>
      <t>Montant (ns)</t>
    </r>
  </si>
  <si>
    <r>
      <rPr>
        <sz val="8"/>
        <rFont val="Arial MT"/>
        <family val="2"/>
      </rPr>
      <t>Informations</t>
    </r>
  </si>
  <si>
    <r>
      <rPr>
        <sz val="8"/>
        <rFont val="Arial MT"/>
        <family val="2"/>
      </rPr>
      <t>Salaire de base</t>
    </r>
  </si>
  <si>
    <r>
      <rPr>
        <sz val="8"/>
        <rFont val="Arial MT"/>
        <family val="2"/>
      </rPr>
      <t>TOTAL GAINS</t>
    </r>
  </si>
  <si>
    <r>
      <rPr>
        <b/>
        <i/>
        <sz val="8"/>
        <rFont val="Arial"/>
        <family val="2"/>
      </rPr>
      <t>RETENUES</t>
    </r>
  </si>
  <si>
    <r>
      <rPr>
        <sz val="8"/>
        <rFont val="Arial MT"/>
        <family val="2"/>
      </rPr>
      <t>Taux Sal. %</t>
    </r>
  </si>
  <si>
    <r>
      <rPr>
        <sz val="8"/>
        <rFont val="Arial MT"/>
        <family val="2"/>
      </rPr>
      <t>Montant Sal.</t>
    </r>
  </si>
  <si>
    <r>
      <rPr>
        <sz val="8"/>
        <rFont val="Arial MT"/>
        <family val="2"/>
      </rPr>
      <t>Taux Pat. %</t>
    </r>
  </si>
  <si>
    <r>
      <rPr>
        <sz val="8"/>
        <rFont val="Arial MT"/>
        <family val="2"/>
      </rPr>
      <t>Montant Pat.</t>
    </r>
  </si>
  <si>
    <r>
      <rPr>
        <sz val="8"/>
        <rFont val="Arial MT"/>
        <family val="2"/>
      </rPr>
      <t>Santé</t>
    </r>
  </si>
  <si>
    <r>
      <rPr>
        <sz val="8"/>
        <rFont val="Arial MT"/>
        <family val="2"/>
      </rPr>
      <t>- Sécurité sociale maladie maternité invalidité décès</t>
    </r>
  </si>
  <si>
    <r>
      <rPr>
        <sz val="8"/>
        <rFont val="Arial MT"/>
        <family val="2"/>
      </rPr>
      <t>- Complémentaire incapacité, invalidité, décès Tr A</t>
    </r>
  </si>
  <si>
    <r>
      <rPr>
        <sz val="8"/>
        <rFont val="Arial MT"/>
        <family val="2"/>
      </rPr>
      <t>- Complémentaire maintien salaire Tr A</t>
    </r>
  </si>
  <si>
    <r>
      <rPr>
        <sz val="8"/>
        <rFont val="Arial MT"/>
        <family val="2"/>
      </rPr>
      <t>- Complémentaire santé (mutuelle)</t>
    </r>
  </si>
  <si>
    <r>
      <rPr>
        <i/>
        <sz val="8"/>
        <rFont val="Arial"/>
        <family val="2"/>
      </rPr>
      <t>- Cot. patronales frais de santé imposables</t>
    </r>
  </si>
  <si>
    <r>
      <rPr>
        <sz val="8"/>
        <rFont val="Arial MT"/>
        <family val="2"/>
      </rPr>
      <t>Accident du travail, maladies professionnelles</t>
    </r>
  </si>
  <si>
    <r>
      <rPr>
        <sz val="8"/>
        <rFont val="Arial MT"/>
        <family val="2"/>
      </rPr>
      <t>Retraite</t>
    </r>
  </si>
  <si>
    <r>
      <rPr>
        <sz val="8"/>
        <rFont val="Arial MT"/>
        <family val="2"/>
      </rPr>
      <t>- Sécurité sociale plafonnée</t>
    </r>
  </si>
  <si>
    <r>
      <rPr>
        <sz val="8"/>
        <rFont val="Arial MT"/>
        <family val="2"/>
      </rPr>
      <t>- Sécurité sociale déplafonnée</t>
    </r>
  </si>
  <si>
    <r>
      <rPr>
        <sz val="8"/>
        <rFont val="Arial MT"/>
        <family val="2"/>
      </rPr>
      <t>- Complémentaire Tr 1</t>
    </r>
  </si>
  <si>
    <r>
      <rPr>
        <sz val="8"/>
        <rFont val="Arial MT"/>
        <family val="2"/>
      </rPr>
      <t>Famille</t>
    </r>
  </si>
  <si>
    <r>
      <rPr>
        <sz val="8"/>
        <rFont val="Arial MT"/>
        <family val="2"/>
      </rPr>
      <t>Assurance chômage</t>
    </r>
  </si>
  <si>
    <r>
      <rPr>
        <sz val="8"/>
        <rFont val="Arial MT"/>
        <family val="2"/>
      </rPr>
      <t>- Assurance chômage</t>
    </r>
  </si>
  <si>
    <r>
      <rPr>
        <sz val="8"/>
        <rFont val="Arial MT"/>
        <family val="2"/>
      </rPr>
      <t>- Assurance chômage AGS</t>
    </r>
  </si>
  <si>
    <r>
      <rPr>
        <sz val="8"/>
        <rFont val="Arial MT"/>
        <family val="2"/>
      </rPr>
      <t>Autres contributions dues par l'employeur</t>
    </r>
  </si>
  <si>
    <r>
      <rPr>
        <sz val="8"/>
        <rFont val="Arial MT"/>
        <family val="2"/>
      </rPr>
      <t>- Cotisation FNAL plafonnée</t>
    </r>
  </si>
  <si>
    <r>
      <rPr>
        <sz val="8"/>
        <rFont val="Arial MT"/>
        <family val="2"/>
      </rPr>
      <t>- Contribution de solidarité autonomie</t>
    </r>
  </si>
  <si>
    <r>
      <rPr>
        <sz val="8"/>
        <rFont val="Arial MT"/>
        <family val="2"/>
      </rPr>
      <t>- Financement des organisations syndicales</t>
    </r>
  </si>
  <si>
    <r>
      <rPr>
        <sz val="8"/>
        <rFont val="Arial MT"/>
        <family val="2"/>
      </rPr>
      <t>- Taxe d'apprentissage</t>
    </r>
  </si>
  <si>
    <r>
      <rPr>
        <sz val="8"/>
        <rFont val="Arial MT"/>
        <family val="2"/>
      </rPr>
      <t>- Cotisation de formation</t>
    </r>
  </si>
  <si>
    <r>
      <rPr>
        <sz val="8"/>
        <rFont val="Arial MT"/>
        <family val="2"/>
      </rPr>
      <t>CSG non déductible du revenu imposable</t>
    </r>
  </si>
  <si>
    <r>
      <rPr>
        <sz val="8"/>
        <rFont val="Arial MT"/>
        <family val="2"/>
      </rPr>
      <t>CRDS non déductible du revenu imposable</t>
    </r>
  </si>
  <si>
    <r>
      <rPr>
        <sz val="8"/>
        <rFont val="Arial MT"/>
        <family val="2"/>
      </rPr>
      <t>CSG déductible du revenu imposable</t>
    </r>
  </si>
  <si>
    <r>
      <rPr>
        <sz val="8"/>
        <rFont val="Arial MT"/>
        <family val="2"/>
      </rPr>
      <t>Réduction générale de cotisations Fillon séc. sociale</t>
    </r>
  </si>
  <si>
    <r>
      <rPr>
        <sz val="8"/>
        <rFont val="Arial MT"/>
        <family val="2"/>
      </rPr>
      <t>Réduction générale de cotisations Fillon retraite</t>
    </r>
  </si>
  <si>
    <r>
      <rPr>
        <i/>
        <sz val="8"/>
        <rFont val="Arial"/>
        <family val="2"/>
      </rPr>
      <t>Gain sur net dû à la supp. des cot. chômage et maladie</t>
    </r>
  </si>
  <si>
    <r>
      <rPr>
        <sz val="8"/>
        <rFont val="Arial MT"/>
        <family val="2"/>
      </rPr>
      <t>TOTAL RETENUES</t>
    </r>
  </si>
  <si>
    <r>
      <rPr>
        <b/>
        <sz val="11"/>
        <rFont val="Arial"/>
        <family val="2"/>
      </rPr>
      <t>NET À PAYER AVANT IMPÔT SUR LE REVENU                      1 392,53</t>
    </r>
  </si>
  <si>
    <r>
      <rPr>
        <b/>
        <sz val="8"/>
        <rFont val="Arial"/>
        <family val="2"/>
      </rPr>
      <t>Congés            N         N-1</t>
    </r>
  </si>
  <si>
    <r>
      <rPr>
        <sz val="8"/>
        <rFont val="Arial MT"/>
        <family val="2"/>
      </rPr>
      <t>Impôt sur le revenu : taux non personnalisé</t>
    </r>
  </si>
  <si>
    <r>
      <rPr>
        <sz val="8"/>
        <rFont val="Arial MT"/>
        <family val="2"/>
      </rPr>
      <t xml:space="preserve">acquis
</t>
    </r>
    <r>
      <rPr>
        <sz val="8"/>
        <rFont val="Arial MT"/>
        <family val="2"/>
      </rPr>
      <t>pris / annulés</t>
    </r>
  </si>
  <si>
    <r>
      <rPr>
        <b/>
        <sz val="8"/>
        <rFont val="Arial"/>
        <family val="2"/>
      </rPr>
      <t>NET À PAYER</t>
    </r>
  </si>
  <si>
    <r>
      <rPr>
        <sz val="8"/>
        <rFont val="Arial MT"/>
        <family val="2"/>
      </rPr>
      <t>Reste</t>
    </r>
  </si>
  <si>
    <r>
      <rPr>
        <b/>
        <sz val="8"/>
        <rFont val="Arial"/>
        <family val="2"/>
      </rPr>
      <t>Cumuls</t>
    </r>
  </si>
  <si>
    <r>
      <rPr>
        <b/>
        <sz val="8"/>
        <rFont val="Arial"/>
        <family val="2"/>
      </rPr>
      <t>période</t>
    </r>
  </si>
  <si>
    <r>
      <rPr>
        <b/>
        <sz val="8"/>
        <rFont val="Arial"/>
        <family val="2"/>
      </rPr>
      <t>cumulé</t>
    </r>
  </si>
  <si>
    <r>
      <rPr>
        <sz val="8"/>
        <rFont val="Arial MT"/>
        <family val="2"/>
      </rPr>
      <t>Net imposable</t>
    </r>
  </si>
  <si>
    <r>
      <rPr>
        <sz val="8"/>
        <rFont val="Arial MT"/>
        <family val="2"/>
      </rPr>
      <t>Coût total</t>
    </r>
  </si>
  <si>
    <r>
      <rPr>
        <sz val="8"/>
        <rFont val="Arial MT"/>
        <family val="2"/>
      </rPr>
      <t>Soumis SS</t>
    </r>
  </si>
  <si>
    <r>
      <rPr>
        <sz val="8"/>
        <rFont val="Arial MT"/>
        <family val="2"/>
      </rPr>
      <t>Heures salariées</t>
    </r>
  </si>
  <si>
    <r>
      <rPr>
        <sz val="8"/>
        <rFont val="Arial MT"/>
        <family val="2"/>
      </rPr>
      <t>Réduction Fillon</t>
    </r>
  </si>
  <si>
    <r>
      <rPr>
        <sz val="8"/>
        <rFont val="Arial MT"/>
        <family val="2"/>
      </rPr>
      <t>Montant PAS</t>
    </r>
  </si>
  <si>
    <r>
      <rPr>
        <sz val="5"/>
        <rFont val="Lucida Sans Unicode"/>
        <family val="2"/>
      </rPr>
      <t>COGILOG 20.1.1</t>
    </r>
  </si>
  <si>
    <r>
      <rPr>
        <i/>
        <sz val="8"/>
        <rFont val="Arial"/>
        <family val="2"/>
      </rPr>
      <t xml:space="preserve">Dans votre intérêt, conservez ce bulletin sans limitation de durée
</t>
    </r>
    <r>
      <rPr>
        <i/>
        <sz val="8"/>
        <rFont val="Arial"/>
        <family val="2"/>
      </rPr>
      <t>Pour plus d'informations, voir la rubrique bulletin de paie sur www.service-public.fr</t>
    </r>
  </si>
  <si>
    <t>Taux des cotisations sur salaires au 1er janvier 2021</t>
  </si>
  <si>
    <t>La lettre P désigne le plafond de sécurité sociale.</t>
  </si>
  <si>
    <r>
      <t>Aux prélèvements mentionnés dans le tableau </t>
    </r>
    <r>
      <rPr>
        <b/>
        <sz val="8"/>
        <color rgb="FF212529"/>
        <rFont val="Maison Neue Book"/>
      </rPr>
      <t>s'ajoutent, le cas échéant</t>
    </r>
    <r>
      <rPr>
        <sz val="8"/>
        <color rgb="FF212529"/>
        <rFont val="Maison Neue Book"/>
      </rPr>
      <t>, la complémentaire santé, le versement mobilité, le forfait social (pour certaines sommes exclues de l'assiette des cotisations de sécurité sociale dont, dans les entreprises d'au moins 11 salariés, les cotisations patronales de prévoyance) et la contribution supplémentaire à l'apprentissage.</t>
    </r>
  </si>
  <si>
    <t>Régimes</t>
  </si>
  <si>
    <t>Taux global</t>
  </si>
  <si>
    <t>%</t>
  </si>
  <si>
    <t>Répartition</t>
  </si>
  <si>
    <t>Assiette</t>
  </si>
  <si>
    <t>Employeur</t>
  </si>
  <si>
    <t>I. URSSAF</t>
  </si>
  <si>
    <r>
      <t>Assurance maladie (maladie, maternité, invalidité, décès) </t>
    </r>
    <r>
      <rPr>
        <sz val="6"/>
        <color theme="1"/>
        <rFont val="Maison Neue Book"/>
      </rPr>
      <t>(1)</t>
    </r>
  </si>
  <si>
    <t>7,00 ou 13,00</t>
  </si>
  <si>
    <t>Totalité du salaire</t>
  </si>
  <si>
    <t>Solidarité autonomie</t>
  </si>
  <si>
    <t>Allocations familiales</t>
  </si>
  <si>
    <t>3,45 ou 5,25</t>
  </si>
  <si>
    <t>Assurance vieillesse déplafonnée</t>
  </si>
  <si>
    <t>Fnal (au moins 50 salariés)</t>
  </si>
  <si>
    <t>Contribution au dialogue social</t>
  </si>
  <si>
    <t>Accidents du travail</t>
  </si>
  <si>
    <t>Taux variable selon l'entreprise</t>
  </si>
  <si>
    <t>CSG déductible</t>
  </si>
  <si>
    <r>
      <t>Salaire total après déduction de 1.75 % pour frais professionnels </t>
    </r>
    <r>
      <rPr>
        <sz val="8"/>
        <color theme="1"/>
        <rFont val="Maison Neue Book"/>
      </rPr>
      <t>(2)</t>
    </r>
  </si>
  <si>
    <t>CSG non déductible</t>
  </si>
  <si>
    <t>CRDS</t>
  </si>
  <si>
    <r>
      <t>Assurance vieillesse plafonnée </t>
    </r>
    <r>
      <rPr>
        <sz val="6"/>
        <color theme="1"/>
        <rFont val="Maison Neue Book"/>
      </rPr>
      <t> </t>
    </r>
  </si>
  <si>
    <t>Salaire limité à 1 P</t>
  </si>
  <si>
    <t>Fnal (moins de 50 salariés)</t>
  </si>
  <si>
    <r>
      <t>Chômage</t>
    </r>
    <r>
      <rPr>
        <sz val="6"/>
        <color theme="1"/>
        <rFont val="Maison Neue Book"/>
      </rPr>
      <t> (3)</t>
    </r>
  </si>
  <si>
    <t>Salaire limité à 4 P</t>
  </si>
  <si>
    <r>
      <t>AGS </t>
    </r>
    <r>
      <rPr>
        <sz val="6"/>
        <color theme="1"/>
        <rFont val="Maison Neue Book"/>
      </rPr>
      <t>(4)</t>
    </r>
  </si>
  <si>
    <t>II. Caisses de retraite et de prévoyance</t>
  </si>
  <si>
    <t>Cadres et non cadres</t>
  </si>
  <si>
    <r>
      <t>Cotisation de base sur T1 </t>
    </r>
    <r>
      <rPr>
        <sz val="6"/>
        <color theme="1"/>
        <rFont val="Maison Neue Book"/>
      </rPr>
      <t>(5)</t>
    </r>
  </si>
  <si>
    <t>CEG sur T1</t>
  </si>
  <si>
    <r>
      <t>Cotisation de base sur T2</t>
    </r>
    <r>
      <rPr>
        <sz val="6"/>
        <color theme="1"/>
        <rFont val="Maison Neue Book"/>
      </rPr>
      <t> (5)</t>
    </r>
  </si>
  <si>
    <t>Salaire entre 1 P et 8 P</t>
  </si>
  <si>
    <t>CEG sur T2</t>
  </si>
  <si>
    <t> CET (uniquement si rémunération supérieure à 1 P)</t>
  </si>
  <si>
    <t>Salaire limité à 8 P</t>
  </si>
  <si>
    <t> Cadres</t>
  </si>
  <si>
    <t> Assurance décès obligatoire</t>
  </si>
  <si>
    <t> 1,50</t>
  </si>
  <si>
    <t> Salaire limité à 1 P</t>
  </si>
  <si>
    <t>Apec</t>
  </si>
  <si>
    <t>III. Taxes et participations</t>
  </si>
  <si>
    <r>
      <t>Taxe sur les salaires </t>
    </r>
    <r>
      <rPr>
        <sz val="6"/>
        <color theme="1"/>
        <rFont val="Maison Neue Book"/>
      </rPr>
      <t>(6)</t>
    </r>
  </si>
  <si>
    <t>Construction (au moins 50 salariés)</t>
  </si>
  <si>
    <r>
      <t>Apprentissage</t>
    </r>
    <r>
      <rPr>
        <sz val="6"/>
        <color theme="1"/>
        <rFont val="Maison Neue Book"/>
      </rPr>
      <t>(7)</t>
    </r>
  </si>
  <si>
    <r>
      <t>Formation  (au moins 11 salariés)</t>
    </r>
    <r>
      <rPr>
        <sz val="8"/>
        <color theme="1"/>
        <rFont val="Maison Neue Book"/>
      </rPr>
      <t>(8)</t>
    </r>
  </si>
  <si>
    <r>
      <t>Formation  (moins de 11 salariés)</t>
    </r>
    <r>
      <rPr>
        <sz val="8"/>
        <color theme="1"/>
        <rFont val="Maison Neue Book"/>
      </rPr>
      <t>(8)</t>
    </r>
  </si>
  <si>
    <t>(1) En Alsace-Moselle, une cotisation salariale maladie est due au taux de  de 1,50% . Pour les non-résidents une cotisation salariale maladie est due au taux de 5,50 % (CSS art. L 131-9 et D 242-3).</t>
  </si>
  <si>
    <t>(2) L’assiette de la déduction forfaitaire pour frais professionnels est limitée à 4 plafonds annuels de sécurité sociale. Cette déduction ne s’applique pas à certaines sommes qui ne sont pas à proprement parler du salaire.</t>
  </si>
  <si>
    <t>(3) Pour les intermittents du spectacle, une contribution patronale et une contribution salariale additionnelles sont dues afin de financer le régime spécifique à cette profession.</t>
  </si>
  <si>
    <t>Pour les CDD d’usage d’au plus 3 mois conclus avec un intermittent du spectacle ou un ouvrier docker occasionnel, la contribution patronale chômage est majorée de 0,50 %.</t>
  </si>
  <si>
    <t>(4) Les entreprises de travail temporaire sont soumises pour le personnel intérimaire à un taux de cotisation AGS spécifique de 0,03%.</t>
  </si>
  <si>
    <t>(5) Taux tenant compte du pourcentage d'appel de 127 %.</t>
  </si>
  <si>
    <t>(6) Non exigible dans la mesure où l'employeur est assujetti à la TVA. Des taux majorés s'appliquent au-delà de seuils revalorisés annuellement.</t>
  </si>
  <si>
    <t>(7) En alsace-Moselle : 0,44..</t>
  </si>
  <si>
    <t>(8) Taux spécial de 1,30 % pour les entreprises de travail temporaire d'au moins 11 salariés. Contributions spécifiques de 1 % sur la rémunération des salariés sous contrat à durée déterminée et de 2,10 % sur la rémunération des intermittents du spectacle quel que soit l'effectif.</t>
  </si>
  <si>
    <t>Les entreprises du BTP sont redevables d'une cotisation spécifique dont le taux est fixé, quel que soit l'effectif, à 0,30 % pour les entreprises relevant du seul secteur du bâtiment et à 0,22 % dans celles relevant des travaux publics. Dans les entreprises d'au moins 11 salariés, cette cotisation est déductible de la contribution de droit commun de 1 %.</t>
  </si>
  <si>
    <t>AGS</t>
  </si>
  <si>
    <t>Cotisations</t>
  </si>
  <si>
    <t>Taux employé</t>
  </si>
  <si>
    <t>Montant employé</t>
  </si>
  <si>
    <t>Taux employeur</t>
  </si>
  <si>
    <t>Explications (1 à 3 phrases)</t>
  </si>
  <si>
    <t>Cotisation X</t>
  </si>
  <si>
    <t>xxxx</t>
  </si>
  <si>
    <t>xx%</t>
  </si>
  <si>
    <t>xx</t>
  </si>
  <si>
    <t>(1 à 3 phrases)</t>
  </si>
  <si>
    <t>Cotisation Y</t>
  </si>
  <si>
    <t>yyyy</t>
  </si>
  <si>
    <t>yy%</t>
  </si>
  <si>
    <t>yy</t>
  </si>
  <si>
    <t>Cotisation Z</t>
  </si>
  <si>
    <t>zzzz</t>
  </si>
  <si>
    <t>zz%</t>
  </si>
  <si>
    <t>zz</t>
  </si>
  <si>
    <t>Le salarié Jules Marshall a une rémunération brute mensuelle de 3 586,59 € en 2020. Il ne relève pas des articles 4 et 4bis.
Ce salarié a de la prévoyance calculée sur sa rémunération brute totale. Le taux est de 0,488 % pour la part salariale et de 1,732 % pour la part patronale, toutes tranches confondues. La mutuelle est de 4 % répartie à 50/50 entre la part salariale et la part patronale. Sa rémunération brute cumulée ne dépasse pas 4 PASS, et le taux d’accident du travail appliqué à son entreprise est de 4,2 %. L’entreprise a également moins de 10 salariés.</t>
  </si>
  <si>
    <t>PMSS</t>
  </si>
  <si>
    <t>tranche 1 : de 0 € à 3 428 € ;</t>
  </si>
  <si>
    <t>tranche 2 : de 3 428 € à 27 424 €.</t>
  </si>
  <si>
    <t>Sal brut</t>
  </si>
  <si>
    <t>prévoyance</t>
  </si>
  <si>
    <t>La mutuelle</t>
  </si>
  <si>
    <t>2% PS</t>
  </si>
  <si>
    <t>2% PP</t>
  </si>
  <si>
    <t>0,488 % PS</t>
  </si>
  <si>
    <t>1,732 % PP</t>
  </si>
  <si>
    <t xml:space="preserve"> Salarié Non cadre</t>
  </si>
  <si>
    <t>AT 4,2 %</t>
  </si>
  <si>
    <t xml:space="preserve"> moins de 10 salariés.</t>
  </si>
  <si>
    <t>Soit (1 539,42 * 1) * 2,5 = 3 848,55</t>
  </si>
  <si>
    <t>SAL brut&lt;2,5 SMIC</t>
  </si>
  <si>
    <t>Sal brut&lt;4PASS</t>
  </si>
  <si>
    <t xml:space="preserve">AT </t>
  </si>
  <si>
    <t>Soit (1 539,42 * 1) * 1,6= 2 463,07</t>
  </si>
  <si>
    <t>SAL brut&gt;1,6 SMIC</t>
  </si>
  <si>
    <t>Assurance vieillesse plafonnée</t>
  </si>
  <si>
    <t>VT NOK</t>
  </si>
  <si>
    <t>Forfait social exclu</t>
  </si>
  <si>
    <t>Contributions patronales de retraite supplémentaire et de prévoyance complémentaire (sur la partie exonérée de cotisations de sécurité sociale)</t>
  </si>
  <si>
    <t>Forfait social non exclu</t>
  </si>
  <si>
    <t>COP Prevoyance</t>
  </si>
  <si>
    <t>Forfait Social 8%</t>
  </si>
  <si>
    <t>9 avril 2020 </t>
  </si>
  <si>
    <t>COMMENCE</t>
  </si>
  <si>
    <t>La base horaire est de 151,67 heures mensuelle</t>
  </si>
  <si>
    <t>Le calcul de l'absence au réel</t>
  </si>
  <si>
    <r>
      <t>Comme son nom l'indique, cette méthode prend en compte ce qu'on appelle les </t>
    </r>
    <r>
      <rPr>
        <i/>
        <sz val="10"/>
        <color theme="1"/>
        <rFont val="Arial"/>
        <family val="2"/>
      </rPr>
      <t>heures réelles</t>
    </r>
    <r>
      <rPr>
        <sz val="10"/>
        <color theme="1"/>
        <rFont val="Arial"/>
        <family val="2"/>
      </rPr>
      <t>, soit les heures véritablement travaillées par le salarié, ainsi que les heures pendant lesquelles il a véritablement été absent.</t>
    </r>
  </si>
  <si>
    <t>En heures réelles :</t>
  </si>
  <si>
    <t>En jours réels :</t>
  </si>
  <si>
    <t xml:space="preserve">Puisq'il a commencé le 9 avril 2020 donc </t>
  </si>
  <si>
    <t>(4667,67/22) * 6 = 1273 €</t>
  </si>
  <si>
    <t>(4667,67/154) * 42 = 1273 €</t>
  </si>
  <si>
    <t>Il y a 22 jours ouvrés en avril, donc 22 * 7 heures de travail par jour = 154 heures réelles en avril. Le salarié est absent , soit 6 jours ouvrés, donc un total de 6*7 = 42 heures. Pour trouver le montant de la déduction, il faut donc diviser le salaire de base par la totalité des heures travaillées en avril, puis le multiplier par le nombre d'heures d'absence.</t>
  </si>
  <si>
    <t>Il y a 22 jours ouvrés en avril. Le salarié est absent , soit 6 jours ouvrés. Pour trouver le montant de la déduction, il faut donc diviser le salaire de base par la totalité des jours ouvrés en avril, puis le multiplier par le nombre de jours d'absence.</t>
  </si>
  <si>
    <r>
      <t>C</t>
    </r>
    <r>
      <rPr>
        <b/>
        <i/>
        <sz val="13"/>
        <color rgb="FF000000"/>
        <rFont val="TimesNewRomanPS-BoldItalicMT"/>
      </rPr>
      <t xml:space="preserve">ONTRAT </t>
    </r>
    <r>
      <rPr>
        <b/>
        <i/>
        <sz val="16"/>
        <color rgb="FF000000"/>
        <rFont val="TimesNewRomanPS-BoldItalicMT"/>
      </rPr>
      <t>I</t>
    </r>
    <r>
      <rPr>
        <b/>
        <i/>
        <sz val="13"/>
        <color rgb="FF000000"/>
        <rFont val="TimesNewRomanPS-BoldItalicMT"/>
      </rPr>
      <t xml:space="preserve">NITIATIVE </t>
    </r>
    <r>
      <rPr>
        <b/>
        <i/>
        <sz val="16"/>
        <color rgb="FF000000"/>
        <rFont val="TimesNewRomanPS-BoldItalicMT"/>
      </rPr>
      <t>E</t>
    </r>
    <r>
      <rPr>
        <b/>
        <i/>
        <sz val="13"/>
        <color rgb="FF000000"/>
        <rFont val="TimesNewRomanPS-BoldItalicMT"/>
      </rPr>
      <t xml:space="preserve">MPLOI </t>
    </r>
    <r>
      <rPr>
        <b/>
        <i/>
        <sz val="16"/>
        <color rgb="FF000000"/>
        <rFont val="TimesNewRomanPS-BoldItalicMT"/>
      </rPr>
      <t>(C.I.E.)</t>
    </r>
  </si>
  <si>
    <t>La Direction de la sécurité sociale précise que l’abattement de 30% sur les cotisations patronales de</t>
  </si>
  <si>
    <t>sécurité sociale pour les temps partiels reste applicable pour les contrats en cours.</t>
  </si>
  <si>
    <t>Toutefois, le cumul de l’abattement pour les temps partiel et l’allégement « Fillon » n’est plus possible</t>
  </si>
  <si>
    <r>
      <t>à compter du 1</t>
    </r>
    <r>
      <rPr>
        <i/>
        <sz val="7"/>
        <color rgb="FF000000"/>
        <rFont val="TimesNewRomanPS-ItalicMT"/>
      </rPr>
      <t xml:space="preserve">er </t>
    </r>
    <r>
      <rPr>
        <i/>
        <sz val="10"/>
        <color rgb="FF000000"/>
        <rFont val="TimesNewRomanPS-ItalicMT"/>
      </rPr>
      <t>juillet, l’entreprise doit opter pour une des deux réductions.</t>
    </r>
  </si>
  <si>
    <r>
      <t>A</t>
    </r>
    <r>
      <rPr>
        <b/>
        <i/>
        <sz val="13"/>
        <color rgb="FF000000"/>
        <rFont val="TimesNewRomanPS-BoldItalicMT"/>
      </rPr>
      <t xml:space="preserve">BATTEMENT </t>
    </r>
    <r>
      <rPr>
        <b/>
        <i/>
        <sz val="16"/>
        <color rgb="FF000000"/>
        <rFont val="TimesNewRomanPS-BoldItalicMT"/>
      </rPr>
      <t>T</t>
    </r>
    <r>
      <rPr>
        <b/>
        <i/>
        <sz val="13"/>
        <color rgb="FF000000"/>
        <rFont val="TimesNewRomanPS-BoldItalicMT"/>
      </rPr>
      <t>EMPS PARTIELS</t>
    </r>
  </si>
  <si>
    <t>Toutes les constantes et rubriques relatives à l’ancien dispositif sont regroupées sous le code mémo [CIE]</t>
  </si>
  <si>
    <t>Toutes les constantes et rubriques relatives à l’ancien dispositif sont regroupées sous le code mémo [TP]</t>
  </si>
  <si>
    <r>
      <t>C</t>
    </r>
    <r>
      <rPr>
        <b/>
        <i/>
        <sz val="13"/>
        <color rgb="FF000000"/>
        <rFont val="TimesNewRomanPS-BoldItalicMT"/>
      </rPr>
      <t>ONTRAT D</t>
    </r>
    <r>
      <rPr>
        <b/>
        <i/>
        <sz val="16"/>
        <color rgb="FF000000"/>
        <rFont val="TimesNewRomanPS-BoldItalicMT"/>
      </rPr>
      <t>’</t>
    </r>
    <r>
      <rPr>
        <b/>
        <i/>
        <sz val="13"/>
        <color rgb="FF000000"/>
        <rFont val="TimesNewRomanPS-BoldItalicMT"/>
      </rPr>
      <t>ORIENTATION</t>
    </r>
  </si>
  <si>
    <r>
      <t>Depuis le 1</t>
    </r>
    <r>
      <rPr>
        <sz val="7"/>
        <color rgb="FF000000"/>
        <rFont val="TimesNewRomanPSMT"/>
      </rPr>
      <t xml:space="preserve">er </t>
    </r>
    <r>
      <rPr>
        <sz val="10"/>
        <color rgb="FF000000"/>
        <rFont val="TimesNewRomanPSMT"/>
      </rPr>
      <t>octobre 2004, le contrat d’orientation est remplacé par un nouveau contrat : le contrat de</t>
    </r>
  </si>
  <si>
    <t>professionnalisation</t>
  </si>
  <si>
    <t>Les cotisations relatives à l’ancien dispositif ont été créées sous le code mémo [CTORI]</t>
  </si>
  <si>
    <r>
      <t>A</t>
    </r>
    <r>
      <rPr>
        <b/>
        <i/>
        <sz val="13"/>
        <color rgb="FF000000"/>
        <rFont val="TimesNewRomanPS-BoldItalicMT"/>
      </rPr>
      <t xml:space="preserve">LLEGEMENT DE COTISATIONS </t>
    </r>
    <r>
      <rPr>
        <b/>
        <i/>
        <sz val="16"/>
        <color rgb="FF000000"/>
        <rFont val="TimesNewRomanPS-BoldItalicMT"/>
      </rPr>
      <t>A</t>
    </r>
    <r>
      <rPr>
        <b/>
        <i/>
        <sz val="13"/>
        <color rgb="FF000000"/>
        <rFont val="TimesNewRomanPS-BoldItalicMT"/>
      </rPr>
      <t xml:space="preserve">UBRY </t>
    </r>
    <r>
      <rPr>
        <b/>
        <i/>
        <sz val="16"/>
        <color rgb="FF000000"/>
        <rFont val="TimesNewRomanPS-BoldItalicMT"/>
      </rPr>
      <t>2</t>
    </r>
  </si>
  <si>
    <r>
      <t>Depuis le 1</t>
    </r>
    <r>
      <rPr>
        <sz val="7"/>
        <color rgb="FF000000"/>
        <rFont val="TimesNewRomanPSMT"/>
      </rPr>
      <t xml:space="preserve">er </t>
    </r>
    <r>
      <rPr>
        <sz val="10"/>
        <color rgb="FF000000"/>
        <rFont val="TimesNewRomanPSMT"/>
      </rPr>
      <t>juillet 2003, l’allègement de cotisations Aubry 2 est remplacée par l’allègement Fillon.</t>
    </r>
  </si>
  <si>
    <r>
      <t>A</t>
    </r>
    <r>
      <rPr>
        <b/>
        <i/>
        <sz val="13"/>
        <color rgb="FF000000"/>
        <rFont val="TimesNewRomanPS-BoldItalicMT"/>
      </rPr>
      <t xml:space="preserve">LLEGEMENT </t>
    </r>
    <r>
      <rPr>
        <b/>
        <i/>
        <sz val="16"/>
        <color rgb="FF000000"/>
        <rFont val="TimesNewRomanPS-BoldItalicMT"/>
      </rPr>
      <t xml:space="preserve">AUBRY 2 </t>
    </r>
    <r>
      <rPr>
        <b/>
        <i/>
        <sz val="13"/>
        <color rgb="FF000000"/>
        <rFont val="TimesNewRomanPS-BoldItalicMT"/>
      </rPr>
      <t>DANS LA BRANCHE DES HOTELS</t>
    </r>
    <r>
      <rPr>
        <b/>
        <i/>
        <sz val="16"/>
        <color rgb="FF000000"/>
        <rFont val="TimesNewRomanPS-BoldItalicMT"/>
      </rPr>
      <t xml:space="preserve">, </t>
    </r>
    <r>
      <rPr>
        <b/>
        <i/>
        <sz val="13"/>
        <color rgb="FF000000"/>
        <rFont val="TimesNewRomanPS-BoldItalicMT"/>
      </rPr>
      <t>CAFES</t>
    </r>
  </si>
  <si>
    <t>ET RESTAURANTS</t>
  </si>
  <si>
    <r>
      <t>Depuis le 1</t>
    </r>
    <r>
      <rPr>
        <sz val="7"/>
        <color rgb="FF000000"/>
        <rFont val="TimesNewRomanPSMT"/>
      </rPr>
      <t xml:space="preserve">er </t>
    </r>
    <r>
      <rPr>
        <sz val="10"/>
        <color rgb="FF000000"/>
        <rFont val="TimesNewRomanPSMT"/>
      </rPr>
      <t>juillet 2003, l’allègement de cotisations Aubry 2 est remplacée par l’allègement Fillon</t>
    </r>
  </si>
  <si>
    <r>
      <t>R</t>
    </r>
    <r>
      <rPr>
        <b/>
        <i/>
        <sz val="13"/>
        <color rgb="FF000000"/>
        <rFont val="TimesNewRomanPS-BoldItalicMT"/>
      </rPr>
      <t>EDUCTION DEGRESSIVE SUR LES BAS SALAIRES</t>
    </r>
  </si>
  <si>
    <r>
      <t>Depûis le 1</t>
    </r>
    <r>
      <rPr>
        <sz val="7"/>
        <color rgb="FF000000"/>
        <rFont val="TimesNewRomanPSMT"/>
      </rPr>
      <t xml:space="preserve">er </t>
    </r>
    <r>
      <rPr>
        <sz val="10"/>
        <color rgb="FF000000"/>
        <rFont val="TimesNewRomanPSMT"/>
      </rPr>
      <t>juillet 2003, la réduction degressive sur les bas salaires est remplacée par l’allègement Fillon</t>
    </r>
  </si>
  <si>
    <t>Cas général</t>
  </si>
  <si>
    <t>Zones de revitalisation rurale : R.B.S. et Allocation Familiales</t>
  </si>
  <si>
    <r>
      <t>Depuis le 1</t>
    </r>
    <r>
      <rPr>
        <sz val="7"/>
        <color rgb="FF000000"/>
        <rFont val="TimesNewRomanPSMT"/>
      </rPr>
      <t xml:space="preserve">er </t>
    </r>
    <r>
      <rPr>
        <sz val="10"/>
        <color rgb="FF000000"/>
        <rFont val="TimesNewRomanPSMT"/>
      </rPr>
      <t>juillet 2003, l’employeur applique soit l’allègement Fillon, soit l’allègement de la cotisation</t>
    </r>
  </si>
  <si>
    <t>d’allocation familiale.( cf. chapitre 2 )</t>
  </si>
  <si>
    <t>V.R.P., Pigistes, assistantes maternelles employees par les associations</t>
  </si>
  <si>
    <t>et les directeurs d’établissements prives percevant des indemnités,</t>
  </si>
  <si>
    <t>Travailleurs a domicile, concierges, employés d’immeuble</t>
  </si>
  <si>
    <r>
      <t>Depuis le 1</t>
    </r>
    <r>
      <rPr>
        <sz val="7"/>
        <color rgb="FF000000"/>
        <rFont val="TimesNewRomanPSMT"/>
      </rPr>
      <t xml:space="preserve">er </t>
    </r>
    <r>
      <rPr>
        <sz val="10"/>
        <color rgb="FF000000"/>
        <rFont val="TimesNewRomanPSMT"/>
      </rPr>
      <t>juillet 2003, la réduction degressive sur les bas salaires est remplacée par l’allègement Fillon.</t>
    </r>
  </si>
  <si>
    <r>
      <t>C</t>
    </r>
    <r>
      <rPr>
        <b/>
        <i/>
        <sz val="13"/>
        <color rgb="FF000000"/>
        <rFont val="TimesNewRomanPS-BoldItalicMT"/>
      </rPr>
      <t xml:space="preserve">ONTRAT </t>
    </r>
    <r>
      <rPr>
        <b/>
        <i/>
        <sz val="16"/>
        <color rgb="FF000000"/>
        <rFont val="TimesNewRomanPS-BoldItalicMT"/>
      </rPr>
      <t>E</t>
    </r>
    <r>
      <rPr>
        <b/>
        <i/>
        <sz val="13"/>
        <color rgb="FF000000"/>
        <rFont val="TimesNewRomanPS-BoldItalicMT"/>
      </rPr>
      <t xml:space="preserve">MPLOI </t>
    </r>
    <r>
      <rPr>
        <b/>
        <i/>
        <sz val="16"/>
        <color rgb="FF000000"/>
        <rFont val="TimesNewRomanPS-BoldItalicMT"/>
      </rPr>
      <t>C</t>
    </r>
    <r>
      <rPr>
        <b/>
        <i/>
        <sz val="13"/>
        <color rgb="FF000000"/>
        <rFont val="TimesNewRomanPS-BoldItalicMT"/>
      </rPr>
      <t>ONSOLIDE A L</t>
    </r>
    <r>
      <rPr>
        <b/>
        <i/>
        <sz val="16"/>
        <color rgb="FF000000"/>
        <rFont val="TimesNewRomanPS-BoldItalicMT"/>
      </rPr>
      <t>’</t>
    </r>
    <r>
      <rPr>
        <b/>
        <i/>
        <sz val="13"/>
        <color rgb="FF000000"/>
        <rFont val="TimesNewRomanPS-BoldItalicMT"/>
      </rPr>
      <t>ISSUE D</t>
    </r>
    <r>
      <rPr>
        <b/>
        <i/>
        <sz val="16"/>
        <color rgb="FF000000"/>
        <rFont val="TimesNewRomanPS-BoldItalicMT"/>
      </rPr>
      <t>’</t>
    </r>
    <r>
      <rPr>
        <b/>
        <i/>
        <sz val="13"/>
        <color rgb="FF000000"/>
        <rFont val="TimesNewRomanPS-BoldItalicMT"/>
      </rPr>
      <t xml:space="preserve">UN </t>
    </r>
    <r>
      <rPr>
        <b/>
        <i/>
        <sz val="16"/>
        <color rgb="FF000000"/>
        <rFont val="TimesNewRomanPS-BoldItalicMT"/>
      </rPr>
      <t>C</t>
    </r>
    <r>
      <rPr>
        <b/>
        <i/>
        <sz val="13"/>
        <color rgb="FF000000"/>
        <rFont val="TimesNewRomanPS-BoldItalicMT"/>
      </rPr>
      <t xml:space="preserve">ONTRAT </t>
    </r>
    <r>
      <rPr>
        <b/>
        <i/>
        <sz val="16"/>
        <color rgb="FF000000"/>
        <rFont val="TimesNewRomanPS-BoldItalicMT"/>
      </rPr>
      <t>E</t>
    </r>
    <r>
      <rPr>
        <b/>
        <i/>
        <sz val="13"/>
        <color rgb="FF000000"/>
        <rFont val="TimesNewRomanPS-BoldItalicMT"/>
      </rPr>
      <t>MPLOI</t>
    </r>
  </si>
  <si>
    <r>
      <t>C</t>
    </r>
    <r>
      <rPr>
        <b/>
        <i/>
        <sz val="13"/>
        <color rgb="FF000000"/>
        <rFont val="TimesNewRomanPS-BoldItalicMT"/>
      </rPr>
      <t xml:space="preserve">ONSOLIDE </t>
    </r>
    <r>
      <rPr>
        <b/>
        <i/>
        <sz val="16"/>
        <color rgb="FF000000"/>
        <rFont val="TimesNewRomanPS-BoldItalicMT"/>
      </rPr>
      <t>(C.E.C.)</t>
    </r>
  </si>
  <si>
    <r>
      <t xml:space="preserve">_x0001_ </t>
    </r>
    <r>
      <rPr>
        <i/>
        <sz val="10"/>
        <color rgb="FF000000"/>
        <rFont val="TimesNewRomanPS-ItalicMT"/>
      </rPr>
      <t>Pour les employeurs du secteur non marchand :</t>
    </r>
  </si>
  <si>
    <t>Dans le cadre de la loi sur la cohésion sociale, les contrats CEC, sont remplacés par un</t>
  </si>
  <si>
    <t>nouveau contrat « Contrat d’Accompagnement dans l’Emploi » (C.A.E.). Le décret relatif aux contrats</t>
  </si>
  <si>
    <r>
      <t>emploi consolidé sont abrogés au 1</t>
    </r>
    <r>
      <rPr>
        <i/>
        <sz val="7"/>
        <color rgb="FF000000"/>
        <rFont val="TimesNewRomanPS-ItalicMT"/>
      </rPr>
      <t xml:space="preserve">er </t>
    </r>
    <r>
      <rPr>
        <i/>
        <sz val="10"/>
        <color rgb="FF000000"/>
        <rFont val="TimesNewRomanPS-ItalicMT"/>
      </rPr>
      <t>mai</t>
    </r>
  </si>
  <si>
    <t>L’aide de l’état</t>
  </si>
  <si>
    <t>Elle consiste en :</t>
  </si>
  <si>
    <t>- une prise en charge d’une partie de la rémunération</t>
  </si>
  <si>
    <t>- et une exonération de certaines cotisations patronales sur la partie du salaire :</t>
  </si>
  <si>
    <r>
      <t xml:space="preserve">• </t>
    </r>
    <r>
      <rPr>
        <sz val="10"/>
        <color rgb="FF000000"/>
        <rFont val="TimesNewRomanPSMT"/>
      </rPr>
      <t>dont le montant n’excède pas 120% du SMIC</t>
    </r>
  </si>
  <si>
    <r>
      <t xml:space="preserve">• </t>
    </r>
    <r>
      <rPr>
        <sz val="10"/>
        <color rgb="FF000000"/>
        <rFont val="TimesNewRomanPSMT"/>
      </rPr>
      <t>et dans la limite de 30 heures de travail hebdomadaire</t>
    </r>
  </si>
  <si>
    <t>Les cotisations exonérées</t>
  </si>
  <si>
    <t>Il s’agit des cotisations patronales d’assurances sociales, d’allocations familiales et d’accidents du travail.</t>
  </si>
  <si>
    <t>Restent dues le Fonds National d’Aide au Logement, le versement transport, la contribution solidarité pour</t>
  </si>
  <si>
    <t>l’autonomie, la taxe sur la prévoyance, l’assurance chômage (AC et ASF) et la retraite complémentaire</t>
  </si>
  <si>
    <t>Mise en place du paramétrage</t>
  </si>
  <si>
    <t>Toutes les constantes et rubriques relatives au paramétrage de l’exonération patronale liée au Contrat Emploi</t>
  </si>
  <si>
    <t>Consolidé sont regroupées sous le code mémo [CEC]</t>
  </si>
  <si>
    <r>
      <t xml:space="preserve">_x0001_ </t>
    </r>
    <r>
      <rPr>
        <b/>
        <i/>
        <sz val="12"/>
        <color rgb="FF000000"/>
        <rFont val="TimesNewRomanPS-BoldItalicMT"/>
      </rPr>
      <t>Détail</t>
    </r>
  </si>
  <si>
    <r>
      <t xml:space="preserve">• </t>
    </r>
    <r>
      <rPr>
        <sz val="10"/>
        <color rgb="FF000000"/>
        <rFont val="TimesNewRomanPSMT"/>
      </rPr>
      <t xml:space="preserve">Constante </t>
    </r>
    <r>
      <rPr>
        <b/>
        <sz val="10"/>
        <color rgb="FF000000"/>
        <rFont val="TimesNewRomanPS-BoldMT"/>
      </rPr>
      <t>HORMENS</t>
    </r>
  </si>
  <si>
    <t xml:space="preserve">ZONE </t>
  </si>
  <si>
    <t>Eléments</t>
  </si>
  <si>
    <t>Code
Intitulé
Mémo
Calcul</t>
  </si>
  <si>
    <t>HORMENS
Horaire mensuel maximum
CEC
30 * 52 / 12</t>
  </si>
  <si>
    <r>
      <t xml:space="preserve">• </t>
    </r>
    <r>
      <rPr>
        <sz val="10"/>
        <color rgb="FF000000"/>
        <rFont val="TimesNewRomanPSMT"/>
      </rPr>
      <t xml:space="preserve">Constante </t>
    </r>
    <r>
      <rPr>
        <b/>
        <sz val="10"/>
        <color rgb="FF000000"/>
        <rFont val="TimesNewRomanPS-BoldMT"/>
      </rPr>
      <t>THORMENS</t>
    </r>
  </si>
  <si>
    <t>Code
Intitulé
Mémo
Test</t>
  </si>
  <si>
    <t>THORMENS
Test horaire maxi
CEC
si PRESENCE &gt; HORMENS Alors HORMENS Sinon PRESENCE</t>
  </si>
  <si>
    <r>
      <t xml:space="preserve">Constante </t>
    </r>
    <r>
      <rPr>
        <b/>
        <sz val="10"/>
        <color rgb="FF000000"/>
        <rFont val="TimesNewRomanPS-BoldMT"/>
      </rPr>
      <t>COEF_CEC</t>
    </r>
  </si>
  <si>
    <t>COEF_CEC
Coefficient majoration SMIC
CEC
1.20</t>
  </si>
  <si>
    <r>
      <t xml:space="preserve">Constante </t>
    </r>
    <r>
      <rPr>
        <b/>
        <sz val="10"/>
        <color rgb="FF000000"/>
        <rFont val="TimesNewRomanPS-BoldMT"/>
      </rPr>
      <t xml:space="preserve">SMICCEC </t>
    </r>
    <r>
      <rPr>
        <sz val="10"/>
        <color rgb="FF000000"/>
        <rFont val="TimesNewRomanPSMT"/>
      </rPr>
      <t>(Smic horaire * 120 % * horaire mensuel moyen)</t>
    </r>
  </si>
  <si>
    <t>SMICCEC
SMIC lié à présence réelle
CEC
SMIC * COEF_CEC * THORMENS</t>
  </si>
  <si>
    <r>
      <t xml:space="preserve">Constante </t>
    </r>
    <r>
      <rPr>
        <b/>
        <sz val="10"/>
        <color rgb="FF000000"/>
        <rFont val="TimesNewRomanPS-BoldMT"/>
      </rPr>
      <t>BRUTHMENS</t>
    </r>
  </si>
  <si>
    <t>BRUTHMENS
Brut d’exo maximum
CEC
BRUT / PRESENCE * THORMENS</t>
  </si>
  <si>
    <r>
      <t xml:space="preserve">Constante </t>
    </r>
    <r>
      <rPr>
        <b/>
        <sz val="10"/>
        <color rgb="FF000000"/>
        <rFont val="TimesNewRomanPS-BoldMT"/>
      </rPr>
      <t xml:space="preserve">TESTCEC1 </t>
    </r>
    <r>
      <rPr>
        <sz val="10"/>
        <color rgb="FF000000"/>
        <rFont val="TimesNewRomanPSMT"/>
      </rPr>
      <t>: Cotisation salariale sur part inférieure ou égale au SMIC</t>
    </r>
  </si>
  <si>
    <t>TESTCEC1
Cotis. Part &lt;= SMICCEC
CEC
Si BRUTHMENS &lt; SMICCEC Alors BRUTHMENS Sinon SMICCEC</t>
  </si>
  <si>
    <r>
      <t xml:space="preserve">Constante </t>
    </r>
    <r>
      <rPr>
        <b/>
        <sz val="10"/>
        <color rgb="FF000000"/>
        <rFont val="TimesNewRomanPS-BoldMT"/>
      </rPr>
      <t>BRUTCEC</t>
    </r>
  </si>
  <si>
    <t>BRUTCEC
Part du brut &gt; SMICCEC
CEC
BRUT - TESTCEC1</t>
  </si>
  <si>
    <r>
      <t xml:space="preserve">Constante </t>
    </r>
    <r>
      <rPr>
        <b/>
        <sz val="10"/>
        <color rgb="FF000000"/>
        <rFont val="TimesNewRomanPS-BoldMT"/>
      </rPr>
      <t>TESTCEC</t>
    </r>
  </si>
  <si>
    <t>TESTCEC
Cotis. Part &gt; SMICCEC
CEC
si BRUTCEC &gt; 0,000 Alors BRUTCEC Sinon 0.00</t>
  </si>
  <si>
    <t>###=&gt;&gt;&gt;&gt;&gt; Nouvelle règle  ###=&gt;&gt;&gt;&gt; Développé par DAH</t>
  </si>
  <si>
    <t>catégories:CEC</t>
  </si>
  <si>
    <t>code : HORMENS</t>
  </si>
  <si>
    <t>a= 30 * 52 / 12</t>
  </si>
  <si>
    <t>code : THORMENS</t>
  </si>
  <si>
    <t>code : COEF_CEC</t>
  </si>
  <si>
    <t>c=1.20</t>
  </si>
  <si>
    <t>code : SMICCEC</t>
  </si>
  <si>
    <t>d= SMIC * COEF_CEC * THORMENS</t>
  </si>
  <si>
    <t>b= Si PRESENCE &gt; HORMENS Alors HORMENS Sinon PRESENCE</t>
  </si>
  <si>
    <t>horaire mensuel moyen</t>
  </si>
  <si>
    <t>code : BRUTHMENS</t>
  </si>
  <si>
    <t>e= BRUT / PRESENCE * THORMENS</t>
  </si>
  <si>
    <t>code : TESTCEC1</t>
  </si>
  <si>
    <t>f=Si BRUTHMENS &lt; SMICCEC Alors BRUTHMENS Sinon SMICCEC</t>
  </si>
  <si>
    <t>code : BRUTCEC</t>
  </si>
  <si>
    <t>g=BRUT - TESTCEC1</t>
  </si>
  <si>
    <t>code : TESTCEC</t>
  </si>
  <si>
    <t>h= si BRUTCEC &gt; 0,000 Alors BRUTCEC Sinon 0.00</t>
  </si>
  <si>
    <t>###cons=&gt;&gt;&gt;&gt;&gt; b=Test horaire maxi</t>
  </si>
  <si>
    <t>###cons=&gt;&gt;&gt;&gt;&gt; c=Coefficient majoration SMIC</t>
  </si>
  <si>
    <t>###cons=&gt;&gt;&gt;&gt;&gt; d=SMIC lié à présence réelle</t>
  </si>
  <si>
    <t>###cons=&gt;&gt;&gt;&gt;&gt; e= Brut d’exo maximum</t>
  </si>
  <si>
    <t>###cons=&gt;&gt;&gt;&gt;&gt; f= Cotis. Part &lt;= SMICCEC</t>
  </si>
  <si>
    <t>###cons=&gt;&gt;&gt;&gt;&gt; g= Part du brut &gt; SMICCEC</t>
  </si>
  <si>
    <t>###cons=&gt;&gt;&gt;&gt;&gt; h= Cotis. Part &gt; SMICCEC</t>
  </si>
  <si>
    <r>
      <t xml:space="preserve">###cons=&gt;&gt;&gt;&gt;&gt;Rubrique de cotisation </t>
    </r>
    <r>
      <rPr>
        <b/>
        <sz val="10"/>
        <color rgb="FF000000"/>
        <rFont val="TimesNewRomanPS-BoldMT"/>
      </rPr>
      <t>3700 URSSAF Maladie CEC (&lt;=1.2 SMIC)</t>
    </r>
  </si>
  <si>
    <t>URSSAF Maladie (&lt;= 1.2 SMIC)</t>
  </si>
  <si>
    <t>Type
Code
Intitulé
Mémo
Formule
Montant
Base
Taux salarial
Taux patronal
Plafond
Plancher
Rapport TB
Rapport TC
Assiette de cotisation</t>
  </si>
  <si>
    <t>Cotisation
3700
URSSAF Maladie (&lt;= 1.2 SMIC)
CEC
Base * Taux
Retenue
TESTCEC1
0.85
0.00
PLAFOND
PLANCHER
4.00
8.00
TESTCEC1</t>
  </si>
  <si>
    <t>###cons=&gt;&gt;&gt;&gt;&gt;Rubrique de cotisation 3710 URSSAF Maladie CEC (&gt; 1.2 SMIC)</t>
  </si>
  <si>
    <t>Cotisation
3710
URSSAF Maladie (&gt;1.2 SMIC)
CEC
Base * Taux
Retenue
TESTCEC
0.85
14.40
PLAFOND
PLANCHER
4.00
8.00
TESTCEC</t>
  </si>
  <si>
    <t>###cons=&gt;&gt;&gt;&gt;&gt; a=Horaire mensuel maximum</t>
  </si>
  <si>
    <r>
      <t>C</t>
    </r>
    <r>
      <rPr>
        <b/>
        <i/>
        <sz val="13"/>
        <color rgb="FF000000"/>
        <rFont val="TimesNewRomanPS-BoldItalicMT"/>
      </rPr>
      <t xml:space="preserve">ONTRAT </t>
    </r>
    <r>
      <rPr>
        <b/>
        <i/>
        <sz val="16"/>
        <color rgb="FF000000"/>
        <rFont val="TimesNewRomanPS-BoldItalicMT"/>
      </rPr>
      <t>E</t>
    </r>
    <r>
      <rPr>
        <b/>
        <i/>
        <sz val="13"/>
        <color rgb="FF000000"/>
        <rFont val="TimesNewRomanPS-BoldItalicMT"/>
      </rPr>
      <t xml:space="preserve">MPLOI </t>
    </r>
    <r>
      <rPr>
        <b/>
        <i/>
        <sz val="16"/>
        <color rgb="FF000000"/>
        <rFont val="TimesNewRomanPS-BoldItalicMT"/>
      </rPr>
      <t>S</t>
    </r>
    <r>
      <rPr>
        <b/>
        <i/>
        <sz val="13"/>
        <color rgb="FF000000"/>
        <rFont val="TimesNewRomanPS-BoldItalicMT"/>
      </rPr>
      <t xml:space="preserve">OLIDARITE </t>
    </r>
    <r>
      <rPr>
        <b/>
        <i/>
        <sz val="16"/>
        <color rgb="FF000000"/>
        <rFont val="TimesNewRomanPS-BoldItalicMT"/>
      </rPr>
      <t>(C.E.S.)</t>
    </r>
  </si>
  <si>
    <t>our les employeurs du secteur non marchand :</t>
  </si>
  <si>
    <t>Dans le cadre de la loi sur la cohésion sociale, les contrats CES, sont remplacés par un</t>
  </si>
  <si>
    <r>
      <t>emploi solidarité sont abrogés au 1</t>
    </r>
    <r>
      <rPr>
        <i/>
        <sz val="7"/>
        <color rgb="FF000000"/>
        <rFont val="TimesNewRomanPS-ItalicMT"/>
      </rPr>
      <t xml:space="preserve">er </t>
    </r>
    <r>
      <rPr>
        <i/>
        <sz val="10"/>
        <color rgb="FF000000"/>
        <rFont val="TimesNewRomanPS-ItalicMT"/>
      </rPr>
      <t>mai à l’exception des DOM et Saint Pierre et Miquelon.</t>
    </r>
  </si>
  <si>
    <t>Concernant Les DOM et Saint Pierre et Miquelon, les contrats CES pourront être conclus</t>
  </si>
  <si>
    <t>jusqu’au 31 décembre 2005 inclus. Par conséquent, les conventions CAE ne pourront être signées</t>
  </si>
  <si>
    <r>
      <t>qu’à partir du 1</t>
    </r>
    <r>
      <rPr>
        <i/>
        <sz val="7"/>
        <color rgb="FF000000"/>
        <rFont val="TimesNewRomanPS-ItalicMT"/>
      </rPr>
      <t xml:space="preserve">er </t>
    </r>
    <r>
      <rPr>
        <i/>
        <sz val="10"/>
        <color rgb="FF000000"/>
        <rFont val="TimesNewRomanPS-ItalicMT"/>
      </rPr>
      <t>janvier 2006.</t>
    </r>
  </si>
  <si>
    <t>Le contrat est à durée déterminée de 3 à 36 mois et à temps partiel (20heures par semaine)</t>
  </si>
  <si>
    <t>L’Aide de l’état</t>
  </si>
  <si>
    <t>Il s’agit du remboursement d’une partie du salaire. L’exonération de cotisations patronales est accordée dans la</t>
  </si>
  <si>
    <t>limite du salaire calculé sur la valeur horaire du SMIC pour une durée hebdomadaire limitée à 20 heures</t>
  </si>
  <si>
    <t>Ce sont les cotisations patronales d’ assurances sociales, d’Accidents du travail et d’allocations familiales, le</t>
  </si>
  <si>
    <t>versement Transport et les contributions dues au titre du Fonds National d’Aide au Logement.</t>
  </si>
  <si>
    <t>La partie de la rémunération exonérée est déterminée à chaque versement de la rémunération et est égale au</t>
  </si>
  <si>
    <t>produit du nombre d’heures mensuelles (20 heures hebdomadaires x 52 semaines / 12 mois) par le montant du</t>
  </si>
  <si>
    <t>SMIC.</t>
  </si>
  <si>
    <t>La totalité des cotisations salariales restent dues</t>
  </si>
  <si>
    <r>
      <t xml:space="preserve">Constante </t>
    </r>
    <r>
      <rPr>
        <b/>
        <sz val="10"/>
        <color rgb="FF000000"/>
        <rFont val="TimesNewRomanPS-BoldMT"/>
      </rPr>
      <t>HORCES</t>
    </r>
  </si>
  <si>
    <t>HORCES
Horaire mensuel maximum
CES
20 * 52 / 12</t>
  </si>
  <si>
    <t>Solidarité sont regroupées sous le code mémo [CES].</t>
  </si>
  <si>
    <r>
      <t xml:space="preserve">Constante </t>
    </r>
    <r>
      <rPr>
        <b/>
        <sz val="10"/>
        <color rgb="FF000000"/>
        <rFont val="TimesNewRomanPS-BoldMT"/>
      </rPr>
      <t>THORCES</t>
    </r>
  </si>
  <si>
    <t>THORCES
Test horaire maxi
CES
Si PRESENCE &gt; HORCES Alors HORCES Sinon PRESENC</t>
  </si>
  <si>
    <r>
      <t xml:space="preserve">Constante </t>
    </r>
    <r>
      <rPr>
        <b/>
        <sz val="10"/>
        <color rgb="FF000000"/>
        <rFont val="TimesNewRomanPS-BoldMT"/>
      </rPr>
      <t>BRUTHCES</t>
    </r>
  </si>
  <si>
    <t>BRUTHCES
Brut pour 86.66 heures
CES
BRUT / PRESENCE * HORCES</t>
  </si>
  <si>
    <t>THORCES
Test horaire maxi
CES
Si PRESENCE &gt; HORCES Alors HORCES Sinon PRESENCE</t>
  </si>
  <si>
    <t xml:space="preserve">ONE </t>
  </si>
  <si>
    <t>SMICCES
SMIC lié à la présence réelle
CES
SMIC * THORCES</t>
  </si>
  <si>
    <r>
      <t xml:space="preserve">Constante </t>
    </r>
    <r>
      <rPr>
        <b/>
        <sz val="10"/>
        <color rgb="FF000000"/>
        <rFont val="TimesNewRomanPS-BoldMT"/>
      </rPr>
      <t xml:space="preserve">SMICCES </t>
    </r>
    <r>
      <rPr>
        <sz val="10"/>
        <color rgb="FF000000"/>
        <rFont val="TimesNewRomanPSMT"/>
      </rPr>
      <t>: Smic horaire * Heures mensuelles d’exonération</t>
    </r>
  </si>
  <si>
    <r>
      <t xml:space="preserve">Constante </t>
    </r>
    <r>
      <rPr>
        <b/>
        <sz val="10"/>
        <color rgb="FF000000"/>
        <rFont val="TimesNewRomanPS-BoldMT"/>
      </rPr>
      <t>BRUTCES</t>
    </r>
  </si>
  <si>
    <t>BRUTCES
Part du brut &gt; SMICCES
CES
BRUT – TESTCES1</t>
  </si>
  <si>
    <r>
      <t xml:space="preserve">Constante </t>
    </r>
    <r>
      <rPr>
        <b/>
        <sz val="10"/>
        <color rgb="FF000000"/>
        <rFont val="TimesNewRomanPS-BoldMT"/>
      </rPr>
      <t>TESTCES</t>
    </r>
  </si>
  <si>
    <t>TESTCES
Cotis. Part &gt; SMICCES
CES
si BRUTCES &gt; 0,000 Alors BRUTCES Sinon 0.00</t>
  </si>
  <si>
    <r>
      <t xml:space="preserve">Constante </t>
    </r>
    <r>
      <rPr>
        <b/>
        <sz val="10"/>
        <color rgb="FF000000"/>
        <rFont val="TimesNewRomanPS-BoldMT"/>
      </rPr>
      <t>TESTCES1</t>
    </r>
  </si>
  <si>
    <t>TESTCES1
Cotis. Part &lt;= SMICCES
CES
si BRUTHCES &lt; SMICCES Alors BRUTHCES Sinon SMICCES</t>
  </si>
  <si>
    <t>Cadre légal</t>
  </si>
  <si>
    <r>
      <t>Cette exonération ne sera plus applicable à partir du 1</t>
    </r>
    <r>
      <rPr>
        <sz val="7"/>
        <color rgb="FF000000"/>
        <rFont val="TimesNewRomanPSMT"/>
      </rPr>
      <t xml:space="preserve">er </t>
    </r>
    <r>
      <rPr>
        <sz val="10"/>
        <color rgb="FF000000"/>
        <rFont val="TimesNewRomanPSMT"/>
      </rPr>
      <t>janvier 2002 (sauf pour les contrats en cours à cette date).</t>
    </r>
  </si>
  <si>
    <r>
      <t>Pour les entreprises qui recrutent leur premier salarié à partir du 1</t>
    </r>
    <r>
      <rPr>
        <sz val="7"/>
        <color rgb="FF000000"/>
        <rFont val="TimesNewRomanPSMT"/>
      </rPr>
      <t xml:space="preserve">er </t>
    </r>
    <r>
      <rPr>
        <sz val="10"/>
        <color rgb="FF000000"/>
        <rFont val="TimesNewRomanPSMT"/>
      </rPr>
      <t>janvier 2002, ces dernières ont la possibilité</t>
    </r>
  </si>
  <si>
    <t>d’appliquer jusqu’au 30 juin 2003, l’allègement Aubry 2 ( s’ils bénéficient de ce dernier ). Au delà, ils peuvent</t>
  </si>
  <si>
    <t>appliquer l’allègement Fillon.</t>
  </si>
  <si>
    <r>
      <t>A</t>
    </r>
    <r>
      <rPr>
        <b/>
        <i/>
        <sz val="13"/>
        <color rgb="FF000000"/>
        <rFont val="TimesNewRomanPS-BoldItalicMT"/>
      </rPr>
      <t>IDE A L</t>
    </r>
    <r>
      <rPr>
        <b/>
        <i/>
        <sz val="16"/>
        <color rgb="FF000000"/>
        <rFont val="TimesNewRomanPS-BoldItalicMT"/>
      </rPr>
      <t>’</t>
    </r>
    <r>
      <rPr>
        <b/>
        <i/>
        <sz val="13"/>
        <color rgb="FF000000"/>
        <rFont val="TimesNewRomanPS-BoldItalicMT"/>
      </rPr>
      <t xml:space="preserve">EMPLOI </t>
    </r>
    <r>
      <rPr>
        <b/>
        <i/>
        <sz val="16"/>
        <color rgb="FF000000"/>
        <rFont val="TimesNewRomanPS-BoldItalicMT"/>
      </rPr>
      <t>1</t>
    </r>
    <r>
      <rPr>
        <b/>
        <i/>
        <sz val="9"/>
        <color rgb="FF000000"/>
        <rFont val="TimesNewRomanPS-BoldItalicMT"/>
      </rPr>
      <t xml:space="preserve">ER </t>
    </r>
    <r>
      <rPr>
        <b/>
        <i/>
        <sz val="13"/>
        <color rgb="FF000000"/>
        <rFont val="TimesNewRomanPS-BoldItalicMT"/>
      </rPr>
      <t>SALARIE</t>
    </r>
  </si>
  <si>
    <t>Le contrat</t>
  </si>
  <si>
    <r>
      <t>L’embauche avant le 1</t>
    </r>
    <r>
      <rPr>
        <sz val="7"/>
        <color rgb="FF000000"/>
        <rFont val="TimesNewRomanPSMT"/>
      </rPr>
      <t xml:space="preserve">er </t>
    </r>
    <r>
      <rPr>
        <sz val="10"/>
        <color rgb="FF000000"/>
        <rFont val="TimesNewRomanPSMT"/>
      </rPr>
      <t>janvier 1999 d’un premier salarié doit se faire :</t>
    </r>
  </si>
  <si>
    <t>- sur contrat à durée indéterminée</t>
  </si>
  <si>
    <t>- ou sur contrat à durée déterminée d’au moins 12 mois</t>
  </si>
  <si>
    <t>Elle prend la forme d’une exonération des charges patronales sur la fraction de la rémunération égale au SMIC</t>
  </si>
  <si>
    <t>horaire multiplié par le nombre d’heures rémunérées dans la limite de la durée légale ou conventionnelle du</t>
  </si>
  <si>
    <t>travail.</t>
  </si>
  <si>
    <t>Est exonérée la part patronale des cotisations d’assurances sociales (maladie, maternité, invalidité ,décès,</t>
  </si>
  <si>
    <t>vieillesse), d’accident du travail et d’allocations familiales.</t>
  </si>
  <si>
    <t>L’exonération est de 24 mois pour un salarié en CDI et de 12 mois pour un CDD</t>
  </si>
  <si>
    <r>
      <t>L’ensemble des constantes et rubriques relatives au paramétrage de l’aide à l’emploi du 1</t>
    </r>
    <r>
      <rPr>
        <sz val="7"/>
        <color rgb="FF000000"/>
        <rFont val="TimesNewRomanPSMT"/>
      </rPr>
      <t xml:space="preserve">er </t>
    </r>
    <r>
      <rPr>
        <sz val="10"/>
        <color rgb="FF000000"/>
        <rFont val="TimesNewRomanPSMT"/>
      </rPr>
      <t>salarié ontété créées</t>
    </r>
  </si>
  <si>
    <t>sous le code Mémo [1EM]</t>
  </si>
  <si>
    <r>
      <t xml:space="preserve">Constante </t>
    </r>
    <r>
      <rPr>
        <b/>
        <sz val="10"/>
        <color rgb="FF000000"/>
        <rFont val="TimesNewRomanPS-BoldMT"/>
      </rPr>
      <t xml:space="preserve">HTRAVEM </t>
    </r>
    <r>
      <rPr>
        <sz val="10"/>
        <color rgb="FF000000"/>
        <rFont val="TimesNewRomanPSMT"/>
      </rPr>
      <t>qui calcule l’horaire réellement rémunéré en soustrayant le total des heures d’absence au total des heures travaillées.</t>
    </r>
  </si>
  <si>
    <t>OK</t>
  </si>
  <si>
    <t>SAL brut&lt;3,5 SMIC</t>
  </si>
  <si>
    <t>Accident du travail, maladies professionnelles</t>
  </si>
  <si>
    <t>COP mutuelle</t>
  </si>
  <si>
    <t xml:space="preserve"> forfai social</t>
  </si>
  <si>
    <t>d'après la CARFAT est de 4.2%</t>
  </si>
  <si>
    <t>L'entreprise a moins de 10 salariés donc c'est un taux de 0.10% seulement qui va s'appliquer</t>
  </si>
  <si>
    <t xml:space="preserve">Le forfait social 8% s'applique sur les contributions patronales liées au financement de prestations complémentaires de prévoyance et mutuelle. </t>
  </si>
  <si>
    <t>La CSG et la CRDS sont dues par tout salarié en activité, le calcul de l'assiette est 3586.59*98.25% + 59,37 + 2,75 + 68,56, la CSG est divisée en deux, une part déductible à 6,80% et une part non déductible à 2.4%</t>
  </si>
  <si>
    <t>CT =&gt; Salaire brut+COP</t>
  </si>
  <si>
    <t>salaire de base de 4 667,67</t>
  </si>
  <si>
    <t>Corrigé type Activité "Maîtrisez les cotisations sociales"</t>
  </si>
  <si>
    <t>Salaire brut</t>
  </si>
  <si>
    <t>TA</t>
  </si>
  <si>
    <t>Taux Employé</t>
  </si>
  <si>
    <t>Montant 
Employé</t>
  </si>
  <si>
    <t>Taux 
Employeur</t>
  </si>
  <si>
    <t>Montant 
Employeur</t>
  </si>
  <si>
    <t>Explication</t>
  </si>
  <si>
    <t>URSSAF Maladie</t>
  </si>
  <si>
    <t>La cotisation sécurité sociale maladie est une cotisation déplafonnée. L'assiette est donc de 3586.59€ car elle correspond à la rémunération totale brute du salarié. Les taux applicables sont les taux indiqués par la Sécurité sociale pour 2020 soit 0% pour le salarié et 7% pour l'employeur car la rémunération du salarié est inférieure à 2,5 SMIC. Au-delà, le taux est de 13%</t>
  </si>
  <si>
    <t>URSSAF Vieillesse Plafonnée</t>
  </si>
  <si>
    <t xml:space="preserve">La cotisation sécurité sociale vieillesse a une part plafonnée et une part déplafonnée. L'assiette pour la part plafonnée est donc de 3428€ et celle de la part déplafonnées correspond à la rémunération totale du salarié soit 3586.59€. Les taux applicables sont les taux indiqués par la Sécurité sociale pour 2020 soit pour la partie plafonnée 6.9% pour le salarié et 8.55% pour l'employeur et pour la partie déplafonnée 0.4% pour le salarié et 1.9% pour l'employeur. </t>
  </si>
  <si>
    <t>URSSAF Vieillesse Déplafonnée</t>
  </si>
  <si>
    <t>Contribution Chômage TA</t>
  </si>
  <si>
    <t>La contribution assurance chômage est une cotisation plafonnée, c'est-à-dire que la rémunération brute du salarié est découpée en tranches. En 2020, l'assiette de la Tranche A sera donc l'équivalent du PMSS soit 3428€. La Tranche B correspond donc à la différence entre la rémunération brute et la Tranche A soit 3586.59 - 3428 = 158, 59€. Les taux pour les deux tranches sont 0% pour le salarié et 4,05% pour l'employeur</t>
  </si>
  <si>
    <t>Contribution Chômage TB</t>
  </si>
  <si>
    <t>La contribution assurance chômage est une cotisation plafonnée, c'est-à-dire que la rémunération brute du salarié est découpée en tranches. En 2020, l'assiette de la Tranche A sera donc l'équivalent du PMSS soit 3428€. La Tranche B correspond donc à la différence entre la rémunération brute et la Tranche A soit 3586.59 - 3428 = 158,59€. Les taux pour les deux tranches sont 0% pour le salarié et 4,05% pour l'employeur</t>
  </si>
  <si>
    <t>Retraite complémentaire T1</t>
  </si>
  <si>
    <t>Le salarié cotise à l'article 36. Il n'a donc pas de cotisations APEC. On va donc lui appliquer les cotisations de retraite complémentaire, qui sont des cotisations plafonnées réparties en tranches selon la rémunération brute du salarié. Pour la Tranche 1 on lui appliquera donc sur l'assiette de 3428€ un taux de 3.15% pour le salarié et de 4.72% pour l'employeur en 2020</t>
  </si>
  <si>
    <t>Retraite complémentaire T2</t>
  </si>
  <si>
    <t>Le salarié cotise à l'article 36. Il n'a donc pas de cotisations APEC. On va donc lui appliquer les cotisations de retraite complémentaire, qui sont des cotisations plafonnées réparties en tranches selon la rémunération brute du salarié. Pour la Tranche 2 on lui appliquera donc sur l'assiette de 158,59€ un taux de 8,64% pour le salarié et de 12,95% pour l'employeur en 2020</t>
  </si>
  <si>
    <t>CEG T1</t>
  </si>
  <si>
    <t>Le salarié cotise à l'article 36. Il n'a donc pas de cotisations APEC. On va donc lui appliquer les cotisations CEG, qui sont des cotisations plafonnées réparties en tranches selon la rémunération brute du salarié. Pour la Tranche 1 on lui appliquera donc sur l'assiette de 3428€ un taux de 0,86% pour le salarié et de 1,29% pour l'employeur en 2020</t>
  </si>
  <si>
    <t>CEG T2</t>
  </si>
  <si>
    <t>Le salarié cotise à l'article 36. Il n'a donc pas de cotisations APEC. On va donc lui appliquer les cotisations de retraite complémentaire, qui sont des cotisations plafonnées réparties en tranches selon la rémunération brute du salarié. Pour la Tranche 2 on lui appliquera donc sur l'assiette de 158,59€ un taux de 1,08% pour le salarié et de 1,62% pour l'employeur en 2020</t>
  </si>
  <si>
    <t>CET</t>
  </si>
  <si>
    <t xml:space="preserve">Le salarié cotise à l'article 36. Sa rémunération brute est supérieure au PMSS. On va donc lui appliquer la cotisation CET, calculée sur rémunération brute du salarié, avec un taux de 0,14% pour le salarié et 0,21% pour l'employeur. </t>
  </si>
  <si>
    <t>Mutuelle</t>
  </si>
  <si>
    <t>La mutuelle est calculée sur le PMSS soit 3428 € en 2020. Le taux est de 2% pour le salarié et de 2% également pour l'employeur</t>
  </si>
  <si>
    <t>Prévoyance Non Cadre T1</t>
  </si>
  <si>
    <t>La prévoyance est calculée sur la rémunération totale du salarié, répartie en plafonds. Les taux sont les mêmes pour chaque tranche. L'assiette de la Tranche 1 est limitée au PMSS et la Tranche 2 est calculée en prenant la différence entre la rémunération totale et le PMSS soit 3586.59 - 3428 = 158,59</t>
  </si>
  <si>
    <t>Prévoyance Non Cadre T2</t>
  </si>
  <si>
    <t>CSG Déductible</t>
  </si>
  <si>
    <t>Contribution Solidarité</t>
  </si>
  <si>
    <t>La plupart des cotisations employeurs sont déplafonnées et donc calculées sur la base de la rémunération totale brute du salarié. Le taux applicable à l'entreprise en 2020 est de 0,30%</t>
  </si>
  <si>
    <t>Accident du Travail</t>
  </si>
  <si>
    <t>La plupart des cotisations employeurs sont déplafonnées et donc calculées sur la base de la rémunération totale brute du salarié. Le taux applicable à l'entreprise en 2020 d'après la CARFAT est de 4.2%</t>
  </si>
  <si>
    <t>Allocations Familiales</t>
  </si>
  <si>
    <t>La plupart des cotisations employeurs sont déplafonnées et donc calculées sur la base de la rémunération totale brute du salarié. Le taux applicable en 2020 d'après la Sécurité sociale est de 3.45%</t>
  </si>
  <si>
    <t>FNAL</t>
  </si>
  <si>
    <t>Le FNAL est une cotisation plafonnée donc la rémunération soumise est limitée à 3428 même si le salarié a gagné plus. L'entreprise a moins de 10 salariés donc c'est un taux de 0.10% seulement qui va s'appliquer</t>
  </si>
  <si>
    <t>Financement des Org. Pro. Synd.</t>
  </si>
  <si>
    <t>La plupart des cotisations employeurs sont déplafonnées et donc calculées sur la base de la rémunération totale brute du salarié. Le taux applicable en 2020 d'après la Sécurité sociale est de 0.016%</t>
  </si>
  <si>
    <t>La plupart des cotisations employeurs sont déplafonnées et donc calculées sur la base de la rémunération totale brute du salarié. Le taux applicable en 2020 d'après la Sécurité sociale est de 0.15%</t>
  </si>
  <si>
    <t>CSG non Déductible</t>
  </si>
  <si>
    <t>Périodes</t>
  </si>
  <si>
    <t>Salaires mensuels</t>
  </si>
  <si>
    <t>Salaires cumulés</t>
  </si>
  <si>
    <t>PMSS cumulés</t>
  </si>
  <si>
    <t>Tranche 1</t>
  </si>
  <si>
    <t>Tranche 2</t>
  </si>
  <si>
    <t>Janvier</t>
  </si>
  <si>
    <t>Février</t>
  </si>
  <si>
    <t>Mars</t>
  </si>
  <si>
    <t>Avril</t>
  </si>
  <si>
    <t>Mai</t>
  </si>
  <si>
    <t>Juin</t>
  </si>
  <si>
    <t>3100 + 2300 = 5400</t>
  </si>
  <si>
    <t>Juillet</t>
  </si>
  <si>
    <t>Août</t>
  </si>
  <si>
    <t>Septembre</t>
  </si>
  <si>
    <t>Octobre</t>
  </si>
  <si>
    <t>Novembre</t>
  </si>
  <si>
    <t>Décembre</t>
  </si>
  <si>
    <t>3100 + 3100 = 6200</t>
  </si>
  <si>
    <t>T 1 = cumul PMSS – base cotisations tranche 1 précédentes cumulées.</t>
  </si>
  <si>
    <t>la tranche 1 = cumul PMSS – base cotisations tranche 1 précédentes cumulées.</t>
  </si>
  <si>
    <t>La tranche 2 = cumul des salaires – cumul PMSS – bases cotisations tranche 2 précédentes.</t>
  </si>
  <si>
    <t>T2 =cumul des salaires - cumul PMSS – bases cotisations tranche 2 précédentes.</t>
  </si>
  <si>
    <t>la tranche 1 = cumul salaire – base cotisations tranche 1 précédentes cumulées.</t>
  </si>
  <si>
    <t>T1 =cumul salaire – base cotisations tranche 1 précédentes cumulées.</t>
  </si>
  <si>
    <t>la tranche 2 =  – base cotisations tranche 2 précédentes cumulées.</t>
  </si>
  <si>
    <t>T1</t>
  </si>
  <si>
    <t xml:space="preserve">    if SC&lt;SP:</t>
  </si>
  <si>
    <t>result= cumul salaire – base cotisations tranche 1 précédentes cumulées.</t>
  </si>
  <si>
    <t xml:space="preserve">    else:  </t>
  </si>
  <si>
    <t>result = cumul PMSS – base cotisations tranche 1 précédentes cumulées.</t>
  </si>
  <si>
    <t>T2</t>
  </si>
  <si>
    <t xml:space="preserve">    if SC&gt;SP:</t>
  </si>
  <si>
    <t>result = cumul des salaires – cumul PMSS – bases cotisations tranche 2 précédentes.</t>
  </si>
  <si>
    <t xml:space="preserve">    else: </t>
  </si>
  <si>
    <t>result =  – base cotisations tranche 2 précédentes cumulées.</t>
  </si>
  <si>
    <t>Vérifié</t>
  </si>
  <si>
    <t>En heures réelles moyennes:</t>
  </si>
  <si>
    <t>Il y a 21,67 jours moyens parfois arrondi 22 J. En revanche Le salarié est absent , soit 6 jours ouvrés, donc un total de 6*7 = 42 heures. Pour trouver le montant de la déduction, il faut donc diviser le salaire de base par la totalité des heures travaillées moyennes 151,67, puis le multiplier par le nombre d'heures d'absence.</t>
  </si>
  <si>
    <t>(4667,67/151,67) * 42 = 1292,56 €</t>
  </si>
  <si>
    <t>le calcul de l'absence correspond à 1 111,25.</t>
  </si>
  <si>
    <t>en J ouvrables REELS</t>
  </si>
  <si>
    <t>en J ouvrables MOYENNES</t>
  </si>
  <si>
    <t>en J CALENDIARES REELS</t>
  </si>
  <si>
    <t>en J CALENDIARES MOYENNES</t>
  </si>
  <si>
    <t>22 JOUVRES</t>
  </si>
  <si>
    <t>26 JOURS OUVRABLES</t>
  </si>
  <si>
    <t>30 JOURS CALENDAIRES</t>
  </si>
  <si>
    <t>4667,67*7/26</t>
  </si>
  <si>
    <t>3500*8/30</t>
  </si>
  <si>
    <t>En heures  moyennes:</t>
  </si>
  <si>
    <t>En jours  moyennes:</t>
  </si>
  <si>
    <r>
      <t>Si le cumul des salaires est &gt; au cumul PMSS</t>
    </r>
    <r>
      <rPr>
        <b/>
        <sz val="8"/>
        <color rgb="FF000000"/>
        <rFont val="Arial"/>
        <family val="2"/>
      </rPr>
      <t>, alors</t>
    </r>
  </si>
  <si>
    <r>
      <t>Si le cumul des salaires est &lt; au cumul PMSS</t>
    </r>
    <r>
      <rPr>
        <b/>
        <sz val="8"/>
        <color rgb="FF000000"/>
        <rFont val="Arial"/>
        <family val="2"/>
      </rPr>
      <t>, alors</t>
    </r>
  </si>
  <si>
    <r>
      <t>Si le cumul des salaires est &gt; au 4 cumul PMSS</t>
    </r>
    <r>
      <rPr>
        <b/>
        <sz val="8"/>
        <color rgb="FF000000"/>
        <rFont val="Arial"/>
        <family val="2"/>
      </rPr>
      <t>, alors</t>
    </r>
  </si>
  <si>
    <t>4 PMSS cumulés</t>
  </si>
  <si>
    <t>TX</t>
  </si>
  <si>
    <t>AGS 4P</t>
  </si>
  <si>
    <t>4 P1</t>
  </si>
  <si>
    <t xml:space="preserve">    #result = T1*(0,0405)  </t>
  </si>
  <si>
    <t>CHOMAGE T1</t>
  </si>
  <si>
    <t>CHOMAGE T2</t>
  </si>
  <si>
    <t>#cumul_assurance.chômage T1 =&gt; result=assurance.chômage T1+payslip.cumul_assurance.chômage T1</t>
  </si>
  <si>
    <t>#cumul_assurance.chômage T2 =&gt; result=assurance.chômage T2+payslip.cumul_assurance.chômage T2</t>
  </si>
  <si>
    <t>4P1 = 4 cumul PMSS – base cotisations 4 P1 précédentes cumulées.</t>
  </si>
  <si>
    <t xml:space="preserve">    if SC&lt; 4SP:</t>
  </si>
  <si>
    <r>
      <t>Si le cumul des salaires est &lt; au 4  cumul PMSS</t>
    </r>
    <r>
      <rPr>
        <b/>
        <sz val="8"/>
        <color rgb="FF000000"/>
        <rFont val="Arial"/>
        <family val="2"/>
      </rPr>
      <t>, alors</t>
    </r>
  </si>
  <si>
    <t>result= cumul salaire – base cotisations 4 P1 précédentes cumulées.</t>
  </si>
  <si>
    <t>4P1 = cumul salaire – base cotisations 4 P1 précédentes cumulées.</t>
  </si>
  <si>
    <t>result = 4 cumul PMSS – base cotisations 4 P1 précédentes cumulées.</t>
  </si>
  <si>
    <t>#cumul_AGS  =&gt; result=AGS+payslip.AGS</t>
  </si>
  <si>
    <t>AGS = 4 P1*Tx</t>
  </si>
  <si>
    <t>CHOMAG T1</t>
  </si>
  <si>
    <t>CHOMAG T2</t>
  </si>
  <si>
    <t>SI(SC&lt;4 SP;SC*Tx-cumul_assurance.chômage T1-payslip.cumul_assurance.chômage T2  précedentes;SI(SC&gt;4 SP;4 SP*Tx-cumul_assurance.chômage T1-payslip.cumul_assurance.chômage T2  précedentesT2))</t>
  </si>
  <si>
    <t>result = SC*Tx-cumul_assurance.chômage T1-payslip.cumul_assurance.chômage T2  précedentes</t>
  </si>
  <si>
    <t>else</t>
  </si>
  <si>
    <t>result = 4 SP*Tx-cumul_assurance.chômage T1-payslip.cumul_assurance.chômage T2  précedentes</t>
  </si>
  <si>
    <t>8 P1</t>
  </si>
  <si>
    <t>8 PMSS cumulés</t>
  </si>
  <si>
    <r>
      <t>Si le cumul des salaires est &gt; au 8 cumul PMSS</t>
    </r>
    <r>
      <rPr>
        <b/>
        <sz val="8"/>
        <color rgb="FF000000"/>
        <rFont val="Arial"/>
        <family val="2"/>
      </rPr>
      <t>, alors</t>
    </r>
  </si>
  <si>
    <t>8P1 = 8 cumul PMSS – base cotisations 8 P1 précédentes cumulées.</t>
  </si>
  <si>
    <r>
      <t>Si le cumul des salaires est &lt; au 8  cumul PMSS</t>
    </r>
    <r>
      <rPr>
        <b/>
        <sz val="8"/>
        <color rgb="FF000000"/>
        <rFont val="Arial"/>
        <family val="2"/>
      </rPr>
      <t>, alors</t>
    </r>
  </si>
  <si>
    <t>8P1 = cumul salaire – base cotisations 8 P1 précédentes cumulées.</t>
  </si>
  <si>
    <t xml:space="preserve">    if SC&lt; 8SP:</t>
  </si>
  <si>
    <t>result= cumul salaire – base cotisations 8 P1 précédentes cumulées.</t>
  </si>
  <si>
    <t>result = 8 cumul PMSS – base cotisations 8 P1 précédentes cumulées.</t>
  </si>
  <si>
    <t>4P1-T1</t>
  </si>
  <si>
    <t>(4P1-T1) * Tx</t>
  </si>
  <si>
    <t>(8P1-T1) * Tx</t>
  </si>
  <si>
    <t>SI(SC&lt;1 SP ;0;SI(SC&gt;1 SP;cumul 8P1-payslip CET précedents))</t>
  </si>
  <si>
    <t>Base CET</t>
  </si>
  <si>
    <t xml:space="preserve">La CSG et la CRDS sont dues par tout salarié en activité, le calcul de l'assiette est 3586.59*98.25% + 59,37 + 2,75 + 68,56, </t>
  </si>
  <si>
    <t>la CSG est divisée en deux, une part déductible à 6,80% et une part non déductible à 2.4%</t>
  </si>
  <si>
    <t>La régularisation de tranches</t>
  </si>
  <si>
    <t>Jusqu'au 31 janvier 2016, la régularisation était faite en principe de manière annuelle, donc à la fin de la période sociale, au 31 décembre. Les montants des cotisations à régulariser étaient corrigés sur les déclarations, puis la différence de salaire devait être également modifiée.</t>
  </si>
  <si>
    <t>Par dérogation, cette régularisation pouvait être réalisée progressivement à chaque paie pour éviter des régularisations trop importantes (en positif ou en négatif) en fin d’année.</t>
  </si>
  <si>
    <t>Au 1er janvier 2017, la dérogation est devenue la règle. Cela signifie que pour toutes les cotisations et donc plus seulement les cotisations plafonnées, la régularisation doit se faire de manière progressive, et non plus à la fin de l'année ou lorsque le salarié quitte l'entreprise.</t>
  </si>
  <si>
    <t>Ce processus de régularisation peut concerner normalement tous les salariés.</t>
  </si>
  <si>
    <t>Il y a deux exceptions :</t>
  </si>
  <si>
    <t>travailleurs à domicile et salariés pour lesquels les cotisations, ou les salaires servant de base à celles-ci, sont fixés forfaitairement (c. séc. soc. art. R. 243-12) ;</t>
  </si>
  <si>
    <t>salariés dont les cotisations font l'objet d'un taux réduit ou d'une assiette réduite, comme notamment les VRP multicartes, les artistes du spectacle, les journalistes (lettre min. du 24 avril 1974).</t>
  </si>
  <si>
    <t>Montant du plafond de la sécurité sociale du 01/01/2022 au 31/12/2022</t>
  </si>
  <si>
    <t>Plafond annuel</t>
  </si>
  <si>
    <t>Plafond trimestriel</t>
  </si>
  <si>
    <t>Plafond mensuel (PMSS)</t>
  </si>
  <si>
    <t>Plafond hebdomadaire</t>
  </si>
  <si>
    <t>Plafond journalier</t>
  </si>
  <si>
    <t>Plafond horaire</t>
  </si>
  <si>
    <t>Multiples du plafond de la sécurité sociale couramment utilisés</t>
  </si>
  <si>
    <t>Multiple</t>
  </si>
  <si>
    <t>Montant du plafond correspondant</t>
  </si>
  <si>
    <t>0,1 Pass (10 %)</t>
  </si>
  <si>
    <t>0,5 Pass</t>
  </si>
  <si>
    <t>1 Pass</t>
  </si>
  <si>
    <t>2 Pass</t>
  </si>
  <si>
    <t>3 Pass</t>
  </si>
  <si>
    <t>4 Pass</t>
  </si>
  <si>
    <t>5 Pass</t>
  </si>
  <si>
    <t>6 Pass</t>
  </si>
  <si>
    <t>7 Pass</t>
  </si>
  <si>
    <t>10 Pass</t>
  </si>
  <si>
    <t xml:space="preserve">Fin </t>
  </si>
  <si>
    <t>Début</t>
  </si>
  <si>
    <t xml:space="preserve"> Correspondant du 04 Ramadan 1443 H</t>
  </si>
  <si>
    <t>pour un salarié à temps plein</t>
  </si>
  <si>
    <t>* le PASS applicable doit correspondre au plafond annuel du salarié, c’est-à-dire qu’il doit tenir compte, si c’est le cas, d’absences non rémunérées, de temps partiel ou de tout autre prorata qui aurait eu lieu dans l’année.</t>
  </si>
  <si>
    <t>£</t>
  </si>
  <si>
    <t>Concrètement, sur le bulletin de paie, la valeur de la réintégration sociale est ajoutée au salaire brut pour le calcul des cotisations sociales.</t>
  </si>
  <si>
    <t>Voici un exemple :</t>
  </si>
  <si>
    <t>Libellé</t>
  </si>
  <si>
    <t>Montant</t>
  </si>
  <si>
    <t>Salaire de base</t>
  </si>
  <si>
    <t>Réintégration sociale</t>
  </si>
  <si>
    <t>Salaire Brut</t>
  </si>
  <si>
    <t>Brut Avec RS</t>
  </si>
  <si>
    <t>Plafond SS</t>
  </si>
  <si>
    <t>Tranche A</t>
  </si>
  <si>
    <t>Tranche B</t>
  </si>
  <si>
    <t>Maladie – maternité – invalidité – décès</t>
  </si>
  <si>
    <t>Contribution Solidarité Autonomie</t>
  </si>
  <si>
    <t>Vieillesse déplafonnée</t>
  </si>
  <si>
    <t>Les cotisations sociales sont calculées en intégrant dans le salaire brut la réintégration sociale, mais le salaire brut ne change pas.</t>
  </si>
  <si>
    <t>8 Pass</t>
  </si>
  <si>
    <t>Plafond de référence pour calculer les seuils d’exonération</t>
  </si>
  <si>
    <t>En matière sociale, lorsque les paramètres de calcul de la limite d’exonération font référence au plafond de la sécurité sociale, il fallait traditionnellement retenir le plafond propre au salarié, compte tenu des règles de proratisation, ce qui pouvait conduire à des seuils différents pour chacun. En particulier, il pouvait s’agir d’un plafond réduit ou proratisé (absence non rémunérée, temps partiel, employeurs multiples, etc.).</t>
  </si>
  <si>
    <t>À noter</t>
  </si>
  <si>
    <t>À partir de 2022, la règle sera obligatoire (BOSS, Assiette générale, §§ 1180 et 1190, 01/04/2021).</t>
  </si>
  <si>
    <t xml:space="preserve">  =&gt; changement de la régle du prorata du plafond</t>
  </si>
  <si>
    <t>COP Prevoyance T1</t>
  </si>
  <si>
    <t>COP Prevoyance T2</t>
  </si>
  <si>
    <t>COP mutuelle T1</t>
  </si>
  <si>
    <t>c = O.O6 * SP</t>
  </si>
  <si>
    <t>e = 0.12 * SP</t>
  </si>
  <si>
    <t>g = Limite d'exonération'</t>
  </si>
  <si>
    <t>g_mens = g - payslip.cumul_g</t>
  </si>
  <si>
    <t>cumul_COP Prevoyance T1 == a</t>
  </si>
  <si>
    <t>cumul_COP Prevoyance T2 == b</t>
  </si>
  <si>
    <t>cumul_COP mutuelle T1 == a1</t>
  </si>
  <si>
    <t>k</t>
  </si>
  <si>
    <t>COP retraite_supplémentaire</t>
  </si>
  <si>
    <t>cumul_COP retraite_supplémentaire == a</t>
  </si>
  <si>
    <t xml:space="preserve">c = 0.05 * SP  </t>
  </si>
  <si>
    <t xml:space="preserve">e = 0.05 * 5 * SP  </t>
  </si>
  <si>
    <t>g = Limite d'exonération' Étape 1</t>
  </si>
  <si>
    <t>h_mens = h - payslip.cumul_h</t>
  </si>
  <si>
    <t>h = la plus élevée des deux</t>
  </si>
  <si>
    <t xml:space="preserve">l </t>
  </si>
  <si>
    <t>alors l'assiette le forfait social' = result = k + l + PEE + PEI + Perco + COS_Ret_supp_prisencharge + IRC + jetons_présence + jetons_présence_except</t>
  </si>
  <si>
    <t>Le montant de la réintégration sociale qui apparaît en haut et en bas du bulletin comme un avantage en nature est de 1 064€.</t>
  </si>
  <si>
    <t>cumul_RS1 =&gt; Excédent_socialePr_reintegre</t>
  </si>
  <si>
    <t>RS1 = cumul_RS1 - payslip.cumul_RS1  =&gt; Excédent_socialePr_reintegre  =&gt; comme un avantage en nature</t>
  </si>
  <si>
    <t xml:space="preserve">cumul_RS2 =&gt; Excédent_socialeRet_reintegre </t>
  </si>
  <si>
    <t>RS2 = cumul_RS2 - payslip.cumul_RS2  =&gt; Excédent_socialeRet_reintegre   =&gt; comme un avantage en nature</t>
  </si>
  <si>
    <t>Dans un dernier temps, il faut bien sûr identifier les cotisations sociales dont l'assiette va être modifiée suite à ce déclenchement de réintégration sociale :'</t>
  </si>
  <si>
    <t>les cotisations de Sécurité sociale suivantes : maladie, vieillesse, allocations familiales, accidents du travail ;</t>
  </si>
  <si>
    <t xml:space="preserve">les cotisations sociales avec la même assiette : FNAL, versement de transport, contribution solidarité autonomie, assurance chômage, </t>
  </si>
  <si>
    <t>taxe d’apprentissage, participation formation, participation construction, contribution au dialogue social, cotisations pénibilité ;</t>
  </si>
  <si>
    <t>Il faut tenir compte des règles de plafonnement applicables aux assiettes des cotisations, ce qui peut limiter le montant réintégré, voire le rendre nul.</t>
  </si>
  <si>
    <t>les cotisations de retraite complémentaire Arrco et Agirc.</t>
  </si>
  <si>
    <t>Salaires mensuels == Brut</t>
  </si>
  <si>
    <t>soit on fait une regle montant fixe après calcul</t>
  </si>
  <si>
    <t>soit une condition python</t>
  </si>
  <si>
    <t>soit …</t>
  </si>
  <si>
    <t>Les excédents de cotisations non déductibles sont soumis à cotisations de Sécurité sociale, d'assurance chômage et de retraite complémentaire..</t>
  </si>
  <si>
    <t xml:space="preserve"> Ils ne sont jamais soumis à cotisations de prévoyance complémentaire ni à CSG CRDS pour ne pas augmenter à nouveau l'assiette de la réintégration sociale</t>
  </si>
  <si>
    <t>La réintégration sociale permet de soumettre les montants non déductibles à cotisations salariales et patronales pour les seules cotisations qui n'ont pas encore été impactées.</t>
  </si>
  <si>
    <t>result COP Faut figer</t>
  </si>
  <si>
    <t>Salaires cumulés sans RS</t>
  </si>
  <si>
    <t>8 P1 sans RS</t>
  </si>
  <si>
    <t>d = 0.015  * cumul_BRUT sans RS</t>
  </si>
  <si>
    <t>d = 0.05  * cumul_BRUT Sans RS</t>
  </si>
  <si>
    <t>RS =&gt; cumul_RS == cumul_RS1 + cumul_RS2</t>
  </si>
  <si>
    <t>8P1-T1</t>
  </si>
  <si>
    <r>
      <t>Depuis le 1</t>
    </r>
    <r>
      <rPr>
        <b/>
        <sz val="6"/>
        <color rgb="FF1D1D1B"/>
        <rFont val="Arial"/>
        <family val="2"/>
      </rPr>
      <t>er </t>
    </r>
    <r>
      <rPr>
        <b/>
        <sz val="8"/>
        <color rgb="FF1D1D1B"/>
        <rFont val="Arial"/>
        <family val="2"/>
      </rPr>
      <t>avril 2021, l’administration considère que le plafond ne doit plus être proratisé (ni pour temps partiel, ni pour absence non rémunérée, etc.) (voir FH </t>
    </r>
    <r>
      <rPr>
        <b/>
        <u/>
        <sz val="8"/>
        <color rgb="FF006E49"/>
        <rFont val="Arial"/>
        <family val="2"/>
      </rPr>
      <t>3888</t>
    </r>
    <r>
      <rPr>
        <b/>
        <sz val="8"/>
        <color rgb="FF1D1D1B"/>
        <rFont val="Arial"/>
        <family val="2"/>
      </rPr>
      <t>, § </t>
    </r>
    <r>
      <rPr>
        <b/>
        <u/>
        <sz val="8"/>
        <color rgb="FF006E49"/>
        <rFont val="Arial"/>
        <family val="2"/>
      </rPr>
      <t>4-25</t>
    </r>
    <r>
      <rPr>
        <b/>
        <sz val="8"/>
        <color rgb="FF1D1D1B"/>
        <rFont val="Arial"/>
        <family val="2"/>
      </rPr>
      <t xml:space="preserve">). </t>
    </r>
  </si>
  <si>
    <t>Les entreprises ont pu choisir d’appliquer cette nouvelle doctrine dès le 1er avril, pour les déclarations sociales faites au titre de l’année 2021.</t>
  </si>
  <si>
    <t>SC + RS</t>
  </si>
  <si>
    <t>COP</t>
  </si>
  <si>
    <t>Réduction générale de cotisations Fillon séc. sociale</t>
  </si>
  <si>
    <t>Réduction générale de cotisations Fillon retraite</t>
  </si>
  <si>
    <t>Gain sur net dû à la supp. des cot. chômage et maladie</t>
  </si>
  <si>
    <t>cumul_delta ticket_restaurant</t>
  </si>
  <si>
    <t xml:space="preserve">RS_ticket_restaurant_mensuel = cumul_delta TR - + payslip.cumul_delta TR </t>
  </si>
  <si>
    <t>Tableau récapitulatif calcul indemnité CP</t>
  </si>
  <si>
    <t>Les règles du calcul du dixième</t>
  </si>
  <si>
    <t>Cas pratiques de l'ICP</t>
  </si>
  <si>
    <t>Jours ouvrés</t>
  </si>
  <si>
    <t>Maintien de salaire</t>
  </si>
  <si>
    <t>Dixiéme</t>
  </si>
  <si>
    <t>Salaire de référence</t>
  </si>
  <si>
    <t>Un salarié est en congé pendant 13 jours ouvrés, du 3 au 19 février 2020.</t>
  </si>
  <si>
    <t>Son salaire de base est de 1 800 € et son salaire de référence de 27 440 €.</t>
  </si>
  <si>
    <t>Salaire de base/Salaire de référence</t>
  </si>
  <si>
    <t xml:space="preserve">  =&gt; Le montant le plus favorable est donc le montant du dixième.</t>
  </si>
  <si>
    <t>Salarié à temps partiel</t>
  </si>
  <si>
    <t>Son salaire de base est de 3 167,53 €.</t>
  </si>
  <si>
    <t>Son salaire de référence est de 43 010,36 €.</t>
  </si>
  <si>
    <t>elle a demandé à son employeur un mois de congés payés, du 2 au 30 avril 2018 inclus Le 2 avril étant un jour férié</t>
  </si>
  <si>
    <t>Cela nous fait donc un total de 20 jours de congés payés à déduire de son compteur</t>
  </si>
  <si>
    <t>Au niveau du calcul de la déduction et de l'indemnité de congés payés, cela va donner la présentation suivante :</t>
  </si>
  <si>
    <t>une rubrique de déduction des jours de congés payés indiquant 20 jours pris ;</t>
  </si>
  <si>
    <t>une rubrique d'indemnisation des jours de congés payés indiquant 20 jours également.</t>
  </si>
  <si>
    <t xml:space="preserve"> =&gt;</t>
  </si>
  <si>
    <r>
      <t xml:space="preserve">La rubrique de déduction indiquera donc le montant de </t>
    </r>
    <r>
      <rPr>
        <b/>
        <sz val="8"/>
        <color rgb="FF271A38"/>
        <rFont val="Arial"/>
        <family val="2"/>
      </rPr>
      <t>2 923,42 €.</t>
    </r>
  </si>
  <si>
    <r>
      <t xml:space="preserve">La rubrique d'indemnisation, quant à elle, indiquera le montant le plus favorable, donc celui calculé avec la méthode du dixième, </t>
    </r>
    <r>
      <rPr>
        <b/>
        <sz val="8"/>
        <color rgb="FF271A38"/>
        <rFont val="Arial"/>
        <family val="2"/>
      </rPr>
      <t>soit 3 440,29 €.</t>
    </r>
  </si>
  <si>
    <t>Jours supplémentaires conventionnels</t>
  </si>
  <si>
    <t>Son salaire mensuel est de 1 800 €, et son salaire de référence de 27 440 €. </t>
  </si>
  <si>
    <r>
      <t xml:space="preserve">Le salarié Mouton travaille dans la même entreprise depuis 7 ans. Il dépend de la convention collective Syntec. Cela signifie qu'il acquiert désormais 1 jour de congé payé supplémentaire chaque année, </t>
    </r>
    <r>
      <rPr>
        <b/>
        <sz val="8"/>
        <color rgb="FF271A38"/>
        <rFont val="Arial"/>
        <family val="2"/>
      </rPr>
      <t>soit 26 jours au lieu de 25</t>
    </r>
    <r>
      <rPr>
        <sz val="8"/>
        <color rgb="FF271A38"/>
        <rFont val="Arial"/>
        <family val="2"/>
      </rPr>
      <t xml:space="preserve">. Il faut également noter que la convention collective Syntec prévoit une acquisition des congés payés </t>
    </r>
    <r>
      <rPr>
        <b/>
        <sz val="8"/>
        <color rgb="FF271A38"/>
        <rFont val="Arial"/>
        <family val="2"/>
      </rPr>
      <t>en jours ouvrés. </t>
    </r>
  </si>
  <si>
    <r>
      <t>Il prend une semaine de congés payés du 14 au 20 mai 2018, soit</t>
    </r>
    <r>
      <rPr>
        <b/>
        <sz val="8"/>
        <color rgb="FF271A38"/>
        <rFont val="Arial"/>
        <family val="2"/>
      </rPr>
      <t xml:space="preserve"> 5 jours ouvrés</t>
    </r>
    <r>
      <rPr>
        <sz val="8"/>
        <color rgb="FF271A38"/>
        <rFont val="Arial"/>
        <family val="2"/>
      </rPr>
      <t xml:space="preserve"> de congés payés.</t>
    </r>
  </si>
  <si>
    <t> 27 440 / 25 * 26 = 28 537,60 €.</t>
  </si>
  <si>
    <r>
      <t xml:space="preserve">Nous allons donc, pour cela, tout simplement reconstituer son salaire de référence </t>
    </r>
    <r>
      <rPr>
        <b/>
        <sz val="8"/>
        <color rgb="FF271A38"/>
        <rFont val="Arial"/>
        <family val="2"/>
      </rPr>
      <t>pour 26 jours</t>
    </r>
    <r>
      <rPr>
        <sz val="8"/>
        <color rgb="FF271A38"/>
        <rFont val="Arial"/>
        <family val="2"/>
      </rPr>
      <t xml:space="preserve"> de congés payés, soit le calcul suivant :</t>
    </r>
  </si>
  <si>
    <t>Calcul de l'ICCP pour un CDD</t>
  </si>
  <si>
    <t>Le salarié Renaud termine le 15 mai 2018 un CDD d'une durée de 6 mois.</t>
  </si>
  <si>
    <t>Son salaire mensuel de base était de 2 667,67 € et il ne recevait pas de variables ; soit, sur 6 mois, un salaire brut total de 16 006,02 €.</t>
  </si>
  <si>
    <t>Il a acquis 13 jours de congés payés ; il n'a pris aucun jour de congé pendant toute la durée de son contrat.</t>
  </si>
  <si>
    <t>Son indemnité de précarité est de 16 006,02 x 10 % = 1 600,60 €.</t>
  </si>
  <si>
    <t>Son salaire de référence est donc de 16 006,02 + 1 600, 60 = 17 606,62 €.</t>
  </si>
  <si>
    <t>Le calcul au maintien est donc le suivant : 2 667,67 / 21,67 * 13 = 1 600,36 €.</t>
  </si>
  <si>
    <t>Le calcul au dixième, quant à lui, est : 17 606,62 / 13 / 10 * 13, ce qui revient à 17 606,62 / 10 = 1 760,66 €.</t>
  </si>
  <si>
    <t>Comme vous pouvez le voir, le calcul du dixième est plus favorable.</t>
  </si>
  <si>
    <t>Le montant de l'ICCP qui apparaîtra sur le bulletin du salarié est donc 1 760,66 €.</t>
  </si>
  <si>
    <t>CP</t>
  </si>
  <si>
    <t>Salaire brut total</t>
  </si>
  <si>
    <t>indemnité de précarité(indemnité de fin de contrat)</t>
  </si>
  <si>
    <t>LégiSocial  L'actualité en Social, Paie et RH</t>
  </si>
  <si>
    <t>Décompter les absences des salariés : les informations à connaitre</t>
  </si>
  <si>
    <t>​Indiquer l’absence est obligatoire !</t>
  </si>
  <si>
    <t>Lorsqu’un salarié est absent, toutes les entreprises doivent inscrire sur le bulletin de paye la valeur de cette absence afin de respecter les dispositions du Code du travail. </t>
  </si>
  <si>
    <t>Article R3243-1</t>
  </si>
  <si>
    <t>​Les 8 méthodes</t>
  </si>
  <si>
    <t>Les entreprises disposent de 8 méthodes de décompte des absences dont nous vous proposons une présentation synthétique comme suit :</t>
  </si>
  <si>
    <t>​1.   Le décompte en heures réelles du mois</t>
  </si>
  <si>
    <t>Salaire base * heures d’absence réelles) / Heures réelles du mois. </t>
  </si>
  <si>
    <t>​2.   Le décompte en heures moyennes du mois</t>
  </si>
  <si>
    <t>(Salaire de base * heures d’absence réelles) / Heures moyennes du mois. </t>
  </si>
  <si>
    <t>​3.   Le décompte en jours ouvrés réels</t>
  </si>
  <si>
    <t>(Salaire base * jours ouvrés d’absences) / Jours ouvrés réels du mois.</t>
  </si>
  <si>
    <t>​4.   Le décompte en jours ouvrés moyens</t>
  </si>
  <si>
    <t>(Salaire base * jours ouvrés d’absence) / Nombre jours ouvrés moyens. </t>
  </si>
  <si>
    <t>​5.   Le décompte en jours ouvrables réels</t>
  </si>
  <si>
    <t>(Salaire base * jours ouvrables d’absence) / Jours ouvrables réels mois.</t>
  </si>
  <si>
    <t>​6.   Le décompte en jours ouvrables moyens</t>
  </si>
  <si>
    <t>(Salaire base* jours ouvrables d’absence) /jours ouvrables moyens.</t>
  </si>
  <si>
    <t>​7.   Le décompte en jours calendaires réels</t>
  </si>
  <si>
    <t>(Salaire base * jours calendaires d’absence) / Jours calendaires du mois.</t>
  </si>
  <si>
    <t>(Salaire base* jours calendaires d’absence) /jours calendaires moyens </t>
  </si>
  <si>
    <t>​Petit exemple chiffré</t>
  </si>
  <si>
    <t>Selon la méthode retenue par l’entreprise, le chiffrage aboutit à des résultats bien différents comme vous le démontrera l’exemple chiffré qui suit : </t>
  </si>
  <si>
    <t>Chiffrage de l’absence d’un salarié selon les 8 méthodes</t>
  </si>
  <si>
    <t>Un salarié est rémunéré sur la base de 2 000 € par mois.</t>
  </si>
  <si>
    <t>Il est absent une semaine complète, soit 35 heures, 5 jours ouvrés, 6 jours ouvrables ou 7 jours calendaires.</t>
  </si>
  <si>
    <t>On supposera que le mois concerné comporte 161 heures de travail prévues, 23 jours ouvrés, 27 jours ouvrables et 31 jours calendaires. </t>
  </si>
  <si>
    <t>Décompte absence en heures</t>
  </si>
  <si>
    <t>Réelles</t>
  </si>
  <si>
    <t>(2.000 * 35) / 161 = 434,78 €</t>
  </si>
  <si>
    <t>Moyennes</t>
  </si>
  <si>
    <t>(2.000 * 35) / 151,67= 461,53 €</t>
  </si>
  <si>
    <t>Décompte absence en jours ouvrés</t>
  </si>
  <si>
    <t>Réels</t>
  </si>
  <si>
    <t>(2.000 * 5) / 23 = 434,78 €</t>
  </si>
  <si>
    <t>Moyens</t>
  </si>
  <si>
    <t>(2.000 * 5) / 22= 454,55 €</t>
  </si>
  <si>
    <t>Décompte absence en jours ouvrables</t>
  </si>
  <si>
    <t>(2.000 * 6) / 27 = 444,44 €</t>
  </si>
  <si>
    <t>(2.000 * 6) / 26= 461,54 €</t>
  </si>
  <si>
    <t>Décompte absence en jours calendaires</t>
  </si>
  <si>
    <t>(2.000 * 7) / 31 = 451,61 €</t>
  </si>
  <si>
    <t>(2.000 * 7) / 30= 466,67 €</t>
  </si>
  <si>
    <t>​Quelle méthode choisir ?</t>
  </si>
  <si>
    <t>Les 8 méthodes précitées ont été créées par la pratique des entreprises, à ce sujet le code du travail est muet concernant l’utilisation de telle ou telle méthode. </t>
  </si>
  <si>
    <t>En revanche, la Cour de cassation s’est prononcée plusieurs fois à ce sujet, et indiquent les points suivants : </t>
  </si>
  <si>
    <t>​La méthode préconisée :</t>
  </si>
  <si>
    <t>Il s’agit du décompte selon les heures réelles du mois.  </t>
  </si>
  <si>
    <t>Les juges considérant ainsi que toute méthode forfaitaire se trouve moins égalitaire que celle qui correspond à la stricte proportionnalité du salaire versée avec le travail accompli. </t>
  </si>
  <si>
    <t>​La méthode imposée par la Cour de cassation à l’exclusion des autres : </t>
  </si>
  <si>
    <t>Dans 5 cas restrictifs, la Cour de cassation indique que seule la méthode selon les heures réelles du mois doit être retenue. </t>
  </si>
  <si>
    <t>Les 5 cas sont : </t>
  </si>
  <si>
    <t>1. Congé sans solde ; </t>
  </si>
  <si>
    <t>2. Maladie non indemnisée ; </t>
  </si>
  <si>
    <t>3. Entrée en cours de mois ; </t>
  </si>
  <si>
    <t>4. Sortie en cours de mois  ; </t>
  </si>
  <si>
    <t>5. Retenues pour heures de grève  </t>
  </si>
  <si>
    <t>Exemples chiffrés du décompte des absences en 2020</t>
  </si>
  <si>
    <t>​Exemple chiffré 1</t>
  </si>
  <si>
    <t>​Présentation du contexte</t>
  </si>
  <si>
    <t>Soit un salarié dont le salaire de base est estimé à 2.000 € sur la base d’une activité à temps plein, soit une rémunération fixée comme suit : </t>
  </si>
  <si>
    <t>151,67 h</t>
  </si>
  <si>
    <t>2 000,00 €</t>
  </si>
  <si>
    <t> Le salarié est absent du 14 au 23 mai 2018 inclus.</t>
  </si>
  <si>
    <t>​Organisation temps de travail</t>
  </si>
  <si>
    <t>La répartition de son activité est supposée la suivante : </t>
  </si>
  <si>
    <t>Répartition du travail sur les 5 jours ouvrés pour une durée de 35h hebdomadaire</t>
  </si>
  <si>
    <t>Lundi</t>
  </si>
  <si>
    <t>Mardi</t>
  </si>
  <si>
    <t>Mercredi</t>
  </si>
  <si>
    <t>Jeudi</t>
  </si>
  <si>
    <t>Vendredi</t>
  </si>
  <si>
    <t>TOTAL</t>
  </si>
  <si>
    <t>​Calendrier du mois</t>
  </si>
  <si>
    <t>Samedi</t>
  </si>
  <si>
    <t>Dimanche</t>
  </si>
  <si>
    <t>(2.000 * 56) / 161 = 695,65 €</t>
  </si>
  <si>
    <t>(2.000 * 56) / 151.67= 738,45 €</t>
  </si>
  <si>
    <t>(2.000 * 8) / 23 = 695,65 €</t>
  </si>
  <si>
    <t>(2.000 * 8) / 21,67= 738,35 €</t>
  </si>
  <si>
    <t>(2.000 * 9) / 27 = 666,67 €</t>
  </si>
  <si>
    <t>(2.000 * 9) / 26= 692,31 €</t>
  </si>
  <si>
    <t>(2.000 * 10) / 31 = 645,16 €</t>
  </si>
  <si>
    <t>(2.000 * 10) / 30= 666,67 €</t>
  </si>
  <si>
    <t>​Exemple chiffré 2</t>
  </si>
  <si>
    <t>(2.000 * 55) / 151.67= 725,26 €</t>
  </si>
  <si>
    <t>​Exemple chiffré 3</t>
  </si>
  <si>
    <t>Le salarié est absent du 14 au 23 mai 2018 inclus. </t>
  </si>
  <si>
    <t>Répartition du travail sur les jours de la semaine</t>
  </si>
  <si>
    <t>XX</t>
  </si>
  <si>
    <t>1. Le repos dominical est remplacé par le lundi</t>
  </si>
  <si>
    <t>2. Le repos habituel du samedi est remplacé par le mardi</t>
  </si>
  <si>
    <t>Compte tenu de son activité le dimanche et le samedi, nous aurons alors le décompte suivant :</t>
  </si>
  <si>
    <r>
      <t>1. La semaine, selon un décompte en jours </t>
    </r>
    <r>
      <rPr>
        <b/>
        <u/>
        <sz val="11"/>
        <color theme="1"/>
        <rFont val="Calibri"/>
        <family val="2"/>
        <scheme val="minor"/>
      </rPr>
      <t>ouvrés</t>
    </r>
    <r>
      <rPr>
        <sz val="11"/>
        <color theme="1"/>
        <rFont val="Calibri"/>
        <family val="2"/>
        <scheme val="minor"/>
      </rPr>
      <t> comprend les jours suivants : mercredi+ jeudi+ vendredi+ samedi+ dimanche ;</t>
    </r>
  </si>
  <si>
    <r>
      <t>2. La semaine, selon un décompte en jours </t>
    </r>
    <r>
      <rPr>
        <b/>
        <u/>
        <sz val="11"/>
        <color theme="1"/>
        <rFont val="Calibri"/>
        <family val="2"/>
        <scheme val="minor"/>
      </rPr>
      <t>ouvrables</t>
    </r>
    <r>
      <rPr>
        <sz val="11"/>
        <color theme="1"/>
        <rFont val="Calibri"/>
        <family val="2"/>
        <scheme val="minor"/>
      </rPr>
      <t> comprend les jours suivants : mercredi+ jeudi+ vendredi+ samedi+ dimanche+ mardi. </t>
    </r>
  </si>
  <si>
    <t>(2.000 * 7) / 23 = 608,70 €</t>
  </si>
  <si>
    <t>(2.000 * 7) / 21,67= 646,05 €</t>
  </si>
  <si>
    <t>(Salaire base * heures d’absence réelles) / Heures réelles du mois. </t>
  </si>
  <si>
    <t>Il est absent, soit 56(8*7) heures, 8 jours ouvrés, 9 jours ouvrables ou 10 jours calendaires.</t>
  </si>
  <si>
    <t>Il est absent , soit 55 heures, 8 jours ouvrés, 9 jours ouvrables ou 10 jours calendaires.</t>
  </si>
  <si>
    <t>On supposera que le mois concerné comporte 160 heures de travail prévues, 23 jours ouvrés, 27 jours ouvrables et 31 jours calendaires. </t>
  </si>
  <si>
    <t>(2.000 * 55) / 160 = 687,50 €</t>
  </si>
  <si>
    <t>(2.000 * 49) / 161 = 608,69 €</t>
  </si>
  <si>
    <t>(2.000 * 49) / 151.67= 646,14 €</t>
  </si>
  <si>
    <t>SMIC</t>
  </si>
  <si>
    <t>Le gain journalier de base du salarié est donc de 84,84 €.</t>
  </si>
  <si>
    <t> le montant de l'indemnité journalière</t>
  </si>
  <si>
    <t>Lors de la subrogation, l'employeur verse à son salarié des IJSS nettes qui ne sont pas soumises à cotisations.</t>
  </si>
  <si>
    <r>
      <t xml:space="preserve">IJSS nettess : </t>
    </r>
    <r>
      <rPr>
        <b/>
        <sz val="11"/>
        <color rgb="FFFF0000"/>
        <rFont val="Arial"/>
        <family val="2"/>
      </rPr>
      <t>– 110 euros.</t>
    </r>
  </si>
  <si>
    <t>Total des salaires de la période de référence  "trois dernières paies des mois civils antérieurs à la date de l'interruption du travail."</t>
  </si>
  <si>
    <t>1,8 SMIC</t>
  </si>
  <si>
    <t> https://www.service-public.fr/particuliers/vosdroits/N526</t>
  </si>
  <si>
    <t>Il est absent du 3 au 16 avril 2020 inclus</t>
  </si>
  <si>
    <r>
      <t>Salaire </t>
    </r>
    <r>
      <rPr>
        <b/>
        <sz val="8"/>
        <color rgb="FF271A38"/>
        <rFont val="Arial"/>
        <family val="2"/>
      </rPr>
      <t>+</t>
    </r>
    <r>
      <rPr>
        <sz val="8"/>
        <color rgb="FF271A38"/>
        <rFont val="Arial"/>
        <family val="2"/>
      </rPr>
      <t> Prime </t>
    </r>
    <r>
      <rPr>
        <b/>
        <sz val="8"/>
        <color rgb="FF271A38"/>
        <rFont val="Arial"/>
        <family val="2"/>
      </rPr>
      <t>+</t>
    </r>
    <r>
      <rPr>
        <sz val="8"/>
        <color rgb="FF271A38"/>
        <rFont val="Arial"/>
        <family val="2"/>
      </rPr>
      <t> Absence </t>
    </r>
    <r>
      <rPr>
        <b/>
        <sz val="8"/>
        <color rgb="FF271A38"/>
        <rFont val="Arial"/>
        <family val="2"/>
      </rPr>
      <t>+</t>
    </r>
    <r>
      <rPr>
        <sz val="8"/>
        <color rgb="FF271A38"/>
        <rFont val="Arial"/>
        <family val="2"/>
      </rPr>
      <t> Indemnité </t>
    </r>
    <r>
      <rPr>
        <b/>
        <sz val="8"/>
        <color rgb="FF271A38"/>
        <rFont val="Arial"/>
        <family val="2"/>
      </rPr>
      <t>-</t>
    </r>
    <r>
      <rPr>
        <sz val="8"/>
        <color rgb="FF271A38"/>
        <rFont val="Arial"/>
        <family val="2"/>
      </rPr>
      <t> IJSS BRUTES</t>
    </r>
  </si>
  <si>
    <r>
      <t>-</t>
    </r>
    <r>
      <rPr>
        <sz val="8"/>
        <color rgb="FF271A38"/>
        <rFont val="Arial"/>
        <family val="2"/>
      </rPr>
      <t> Charges sociales </t>
    </r>
    <r>
      <rPr>
        <b/>
        <sz val="8"/>
        <color rgb="FF271A38"/>
        <rFont val="Arial"/>
        <family val="2"/>
      </rPr>
      <t>+</t>
    </r>
    <r>
      <rPr>
        <sz val="8"/>
        <color rgb="FF271A38"/>
        <rFont val="Arial"/>
        <family val="2"/>
      </rPr>
      <t> IJSS NETTES (SUBROGATION)</t>
    </r>
  </si>
  <si>
    <t xml:space="preserve"> = Brut</t>
  </si>
  <si>
    <t xml:space="preserve"> = Net à payer</t>
  </si>
  <si>
    <t>Bulletin de Paie</t>
  </si>
  <si>
    <t>Salaire</t>
  </si>
  <si>
    <t>Prime</t>
  </si>
  <si>
    <t>Absence</t>
  </si>
  <si>
    <t>Indemnité</t>
  </si>
  <si>
    <t>IJSS</t>
  </si>
  <si>
    <t>Brut</t>
  </si>
  <si>
    <t>charges</t>
  </si>
  <si>
    <t>IJSS(subrogation)</t>
  </si>
  <si>
    <t>Lundi 13 avril : Pâques</t>
  </si>
  <si>
    <r>
      <t xml:space="preserve">Pour le calcul de l'absence, la base est donc </t>
    </r>
    <r>
      <rPr>
        <b/>
        <sz val="8"/>
        <color rgb="FF271A38"/>
        <rFont val="Arial"/>
        <family val="2"/>
      </rPr>
      <t>en réel</t>
    </r>
    <r>
      <rPr>
        <sz val="8"/>
        <color rgb="FF271A38"/>
        <rFont val="Arial"/>
        <family val="2"/>
      </rPr>
      <t xml:space="preserve">, </t>
    </r>
    <r>
      <rPr>
        <b/>
        <sz val="8"/>
        <color rgb="FF271A38"/>
        <rFont val="Arial"/>
        <family val="2"/>
      </rPr>
      <t>soit 21 jours ouvrés en avril 2020 x 7 h de travail journalier = 147</t>
    </r>
    <r>
      <rPr>
        <sz val="8"/>
        <color rgb="FF271A38"/>
        <rFont val="Arial"/>
        <family val="2"/>
      </rPr>
      <t xml:space="preserve"> heures sur le mois. Le taux, quant à lui, est calculé en prenant le nombre d'heures réelles d'absence, </t>
    </r>
    <r>
      <rPr>
        <b/>
        <sz val="8"/>
        <color rgb="FF271A38"/>
        <rFont val="Arial"/>
        <family val="2"/>
      </rPr>
      <t>soit 9 (nombre de jours ouvrés d'absence) * 7 heures = 63.</t>
    </r>
  </si>
  <si>
    <r>
      <t xml:space="preserve">Son salaire est donc maintenu à hauteur de </t>
    </r>
    <r>
      <rPr>
        <b/>
        <sz val="8"/>
        <color rgb="FF271A38"/>
        <rFont val="Arial"/>
        <family val="2"/>
      </rPr>
      <t>90 % pendant les 30 premiers jour</t>
    </r>
    <r>
      <rPr>
        <sz val="8"/>
        <color rgb="FF271A38"/>
        <rFont val="Arial"/>
        <family val="2"/>
      </rPr>
      <t xml:space="preserve">s. Partant du principe qu'il n'a pas encore été malade pendant cette période, il entame donc ses droits avec cette absence. </t>
    </r>
    <r>
      <rPr>
        <b/>
        <sz val="8"/>
        <color rgb="FF271A38"/>
        <rFont val="Arial"/>
        <family val="2"/>
      </rPr>
      <t>Nous prenons donc 90 % du salaire qui lui a été retiré, soit 659,76 x 90 % = 593,78 €</t>
    </r>
    <r>
      <rPr>
        <sz val="8"/>
        <color rgb="FF271A38"/>
        <rFont val="Arial"/>
        <family val="2"/>
      </rPr>
      <t>.
L'employeur va donc verser une indemnité de</t>
    </r>
    <r>
      <rPr>
        <b/>
        <sz val="8"/>
        <color rgb="FF271A38"/>
        <rFont val="Arial"/>
        <family val="2"/>
      </rPr>
      <t xml:space="preserve"> 593,78</t>
    </r>
    <r>
      <rPr>
        <sz val="8"/>
        <color rgb="FF271A38"/>
        <rFont val="Arial"/>
        <family val="2"/>
      </rPr>
      <t xml:space="preserve"> € à son salarié.</t>
    </r>
  </si>
  <si>
    <t>Le gain journalier de base.</t>
  </si>
  <si>
    <t>Le gain journalier de base est donc égal à 1 539 + 1 600 + 1 539 / 91,25 = 51,27.</t>
  </si>
  <si>
    <t>Le montant de l'indemnité journalière est quant à lui calculé en prenant 50 % du gain journalier de base : 51,27 x 50 % = 25,63 €.</t>
  </si>
  <si>
    <r>
      <t xml:space="preserve">Le montant des IJSS est calculé sur la </t>
    </r>
    <r>
      <rPr>
        <b/>
        <sz val="8"/>
        <color rgb="FF271A38"/>
        <rFont val="Arial"/>
        <family val="2"/>
      </rPr>
      <t>base des jours d'absence calendaires, une fois les 3 jours de carence déduits</t>
    </r>
    <r>
      <rPr>
        <sz val="8"/>
        <color rgb="FF271A38"/>
        <rFont val="Arial"/>
        <family val="2"/>
      </rPr>
      <t xml:space="preserve"> ; </t>
    </r>
    <r>
      <rPr>
        <b/>
        <sz val="8"/>
        <color rgb="FF271A38"/>
        <rFont val="Arial"/>
        <family val="2"/>
      </rPr>
      <t>soit 14 - 3 = 11</t>
    </r>
    <r>
      <rPr>
        <sz val="8"/>
        <color rgb="FF271A38"/>
        <rFont val="Arial"/>
        <family val="2"/>
      </rPr>
      <t> jours calendaires d'absence x 25,63 = 281,93 € à déduire du salaire brut.</t>
    </r>
  </si>
  <si>
    <t>Il nous faut encore calculer le montant des IJSS nettes, puisque dans ce cas l'employeur a appliqué la subrogation et a donc perçu le montant des IJSS à la place du salarié. Il doit donc lui reverser le montant net, c'est-à-dire après déduction de la CSG et de la CRDS sur les revenus de remplacement.
L'impact sur le bulletin se fait au niveau du montant de l'indemnité journalière.</t>
  </si>
  <si>
    <r>
      <t>Cela nous donne un net de</t>
    </r>
    <r>
      <rPr>
        <b/>
        <sz val="8"/>
        <color rgb="FF271A38"/>
        <rFont val="Arial"/>
        <family val="2"/>
      </rPr>
      <t xml:space="preserve"> 24,11 x 11 jours = 265,21</t>
    </r>
    <r>
      <rPr>
        <sz val="8"/>
        <color rgb="FF271A38"/>
        <rFont val="Arial"/>
        <family val="2"/>
      </rPr>
      <t> € à verser au salarié.</t>
    </r>
  </si>
  <si>
    <r>
      <t xml:space="preserve">On prend donc </t>
    </r>
    <r>
      <rPr>
        <b/>
        <sz val="8"/>
        <color rgb="FF271A38"/>
        <rFont val="Arial"/>
        <family val="2"/>
      </rPr>
      <t>25,63 et on retire 6,70 %</t>
    </r>
    <r>
      <rPr>
        <sz val="8"/>
        <color rgb="FF271A38"/>
        <rFont val="Arial"/>
        <family val="2"/>
      </rPr>
      <t xml:space="preserve"> correspondant à la CSG et à la CRDS sur les revenus de remplacement.</t>
    </r>
  </si>
  <si>
    <t>des IJSS à passer en brut sur le bulletin.</t>
  </si>
  <si>
    <t>L'indemnité de licenciement'</t>
  </si>
  <si>
    <t>Le calcul de l'indemnité de licenciement est donc toujours soumis à une comparaison entre le calcul légal et le calcul conventionnel ou autre.'</t>
  </si>
  <si>
    <t>L'indemnité ne peut pas être inférieure aux montants suivants :</t>
  </si>
  <si>
    <t>1/4 de mois de salaire par année d'ancienneté pour les 10 premières années ;'</t>
  </si>
  <si>
    <t>1/3 de mois de salaire par année d'ancienneté à partir de la 11e année."'</t>
  </si>
  <si>
    <t>Calcul de l'IL</t>
  </si>
  <si>
    <t>Un salarié a un salaire de référence de 1 500 €. Si son ancienneté est de trois ans et six mois, le calcul de l'indemnité minimale sera le suivant :'</t>
  </si>
  <si>
    <t>[(1 500 x 1/4) x 3] + [(1 500 x 1/4) x (6/12)] = 1 312,50 €</t>
  </si>
  <si>
    <t>Si son ancienneté est de 12 ans et 9 mois, le calcul de l'indemnité minimale sera :'</t>
  </si>
  <si>
    <t xml:space="preserve">[(1 500 x 1/4) x 10] + [(1 500 x 1/3) x 2] + [(1 500 x 1/3) x (9/12)] = 5 125 € </t>
  </si>
  <si>
    <t>Le salaire à prendre en considération pour le calcul de l'indemnité de licenciement est, selon la formule la plus avantageuse pour le salarié :</t>
  </si>
  <si>
    <t>Soit la moyenne mensuelle des douze derniers mois précédant le licenciement, ou lorsque la durée de service du salarié est inférieure à douze mois, la moyenne mensuelle de la rémunération de l'ensemble des mois précédant le licenciement.</t>
  </si>
  <si>
    <t>Soit le tiers des trois derniers mois. Dans ce cas, toute prime ou gratification de caractère annuel ou exceptionnel, versée au salarié pendant cette période, n'est prise en compte que dans la limite d'un montant calculé à due proportion."</t>
  </si>
  <si>
    <t>Calcul de L'indemnité de licenciement'</t>
  </si>
  <si>
    <t>'Dispositions de la convention collective Syntec :'</t>
  </si>
  <si>
    <t>légal</t>
  </si>
  <si>
    <t>conventionnel</t>
  </si>
  <si>
    <t xml:space="preserve">  =&gt;</t>
  </si>
  <si>
    <t>Pour un cadre avec une ancienneté de 12 ans et 7 mois, c’est normalement l’indemnité conventionnelle qui s’appliquerait, car plus favorable.</t>
  </si>
  <si>
    <t>NOta :Le terme Etam est un acronyme qui signifie Employés, Techniciens et Agents de maîtrise enre employé et cadres</t>
  </si>
  <si>
    <t xml:space="preserve">Soit [(2 000 € / 3) x 12 ans] + [((2 000 € / 3) x 7 mois) /12] = 7 999,99 € + 388,89 €  = 8 388,88 € </t>
  </si>
  <si>
    <t>Article 18 : 2 ans d’ancienneté et indemnité réduite d’1/3 en cas de « reclassement » hors de l’entreprise.</t>
  </si>
  <si>
    <t xml:space="preserve">Article 19 : un montant d’indemnité égal à 1/3 de mois pour les cadres et de 1/4 de mois pour les ETAM sur 20 ans, puis 0,30 au-delà ; </t>
  </si>
  <si>
    <t>un salaire de référence qui contrairement à la loi est sur 12 mois seulement, et exclut les majorations pour heures supplémentaires.</t>
  </si>
  <si>
    <t>Pour un préavis d'une durée de 3 mois. '</t>
  </si>
  <si>
    <t>Le salaire total des 12 derniers mois est de 34 687 €.</t>
  </si>
  <si>
    <t>Le calcul est donc le suivant : 34 687 / 12 * 3 = 8 672 €.</t>
  </si>
  <si>
    <t xml:space="preserve">Attention, en cas de préavis commençant en milieu de mois, il faudra bien évidemment proratiser le montant de chaque mois. </t>
  </si>
  <si>
    <t>soumise à cotisations sociales ;</t>
  </si>
  <si>
    <t>soumise à impôt sur le revenu.</t>
  </si>
  <si>
    <t>Calcul de L'indemnité compensatrice de préavis</t>
  </si>
  <si>
    <t>Il faut simplement calculer la rémunération moyenne versée au salarié au cours des 12 mois précédant le mois de la notification de la fin du contrat.</t>
  </si>
  <si>
    <t>Calcul</t>
  </si>
  <si>
    <t>Premier scénario</t>
  </si>
  <si>
    <t>Pierre Maréchal quitte l’entreprise après 12 ans et trois mois d’ancienneté. Il a un statut cadre et est âgé de 47 ans. Son salaire de référence est de 53 657 €.</t>
  </si>
  <si>
    <t>Appliquez les règles de calcul de l’indemnité de licenciement, en respectant les règles légales issues de la convention collective Syntec.</t>
  </si>
  <si>
    <t>EXERCICE</t>
  </si>
  <si>
    <t>Si son ancienneté est de 12 ans et 3 mois, le calcul de l'indemnité minimale sera :'</t>
  </si>
  <si>
    <t xml:space="preserve">[(53 657 x 1/4) x 10] + [(53 657 x 1/3) x 2] + [(53 657 x 1/3) x (3/12)] = 174 385,25 € </t>
  </si>
  <si>
    <t>Pour un cadre avec une ancienneté de 12 ans et 3 mois, c’est normalement l’indemnité conventionnelle qui s’appliquerait, car plus favorable.</t>
  </si>
  <si>
    <t xml:space="preserve">Soit [(53 657 € / 3) x 12 ans] + [((53 657 € / 3) x 3 mois) /12]  = 219 099,42 € </t>
  </si>
  <si>
    <t>Deuxième scénario</t>
  </si>
  <si>
    <t>Avec les informations présentées ci-dessous, expliquez et calculez, le cas échéant, les différents éléments de la maladie du salarié :</t>
  </si>
  <si>
    <t>absence ;</t>
  </si>
  <si>
    <t>maintien de salaire/subrogation ;</t>
  </si>
  <si>
    <t>IJSS.</t>
  </si>
  <si>
    <t>Le gain journalier de base est donc égal à  = 91,10.</t>
  </si>
  <si>
    <t>Le montant de l'indemnité journalière est quant à lui calculé en prenant 50 % du gain journalier de base : 91,10 x 50 % = 45,55 €.</t>
  </si>
  <si>
    <r>
      <t xml:space="preserve">Marion Lefèvre est en arrêt de travail pour maladie du </t>
    </r>
    <r>
      <rPr>
        <b/>
        <sz val="8"/>
        <color rgb="FF271A38"/>
        <rFont val="Arial"/>
        <family val="2"/>
      </rPr>
      <t>1er au 11 juin 2020</t>
    </r>
    <r>
      <rPr>
        <sz val="8"/>
        <color rgb="FF271A38"/>
        <rFont val="Arial"/>
        <family val="2"/>
      </rPr>
      <t xml:space="preserve">. Elle a un statut non cadre, </t>
    </r>
    <r>
      <rPr>
        <b/>
        <sz val="8"/>
        <color rgb="FF271A38"/>
        <rFont val="Arial"/>
        <family val="2"/>
      </rPr>
      <t>un an et demi d’ancienneté</t>
    </r>
    <r>
      <rPr>
        <sz val="8"/>
        <color rgb="FF271A38"/>
        <rFont val="Arial"/>
        <family val="2"/>
      </rPr>
      <t xml:space="preserve">, et dépend de la convention </t>
    </r>
    <r>
      <rPr>
        <b/>
        <sz val="8"/>
        <color rgb="FF271A38"/>
        <rFont val="Arial"/>
        <family val="2"/>
      </rPr>
      <t>collective Syntec</t>
    </r>
    <r>
      <rPr>
        <sz val="8"/>
        <color rgb="FF271A38"/>
        <rFont val="Arial"/>
        <family val="2"/>
      </rPr>
      <t xml:space="preserve">. C’est son premier arrêt de l’année civile. </t>
    </r>
    <r>
      <rPr>
        <b/>
        <sz val="8"/>
        <color rgb="FF271A38"/>
        <rFont val="Arial"/>
        <family val="2"/>
      </rPr>
      <t>Son salaire de base est de 3 245</t>
    </r>
    <r>
      <rPr>
        <sz val="8"/>
        <color rgb="FF271A38"/>
        <rFont val="Arial"/>
        <family val="2"/>
      </rPr>
      <t xml:space="preserve"> € et elle ne reçoit pas de variables ce mois-ci. Ses salaires bruts de mars, avril et mai 2020 étaient les suivants : </t>
    </r>
    <r>
      <rPr>
        <b/>
        <sz val="8"/>
        <color rgb="FF271A38"/>
        <rFont val="Arial"/>
        <family val="2"/>
      </rPr>
      <t>3 245 €, 3 445 € et 3 245 €</t>
    </r>
    <r>
      <rPr>
        <sz val="8"/>
        <color rgb="FF271A38"/>
        <rFont val="Arial"/>
        <family val="2"/>
      </rPr>
      <t>.    </t>
    </r>
  </si>
  <si>
    <t xml:space="preserve">Il est absent du 1 au 11 juin 2020 </t>
  </si>
  <si>
    <t>Lundi 01 juin : Pentecôte</t>
  </si>
  <si>
    <r>
      <t xml:space="preserve">Pour le calcul de l'absence, la base est donc </t>
    </r>
    <r>
      <rPr>
        <b/>
        <sz val="8"/>
        <color rgb="FF271A38"/>
        <rFont val="Arial"/>
        <family val="2"/>
      </rPr>
      <t>en réel</t>
    </r>
    <r>
      <rPr>
        <sz val="8"/>
        <color rgb="FF271A38"/>
        <rFont val="Arial"/>
        <family val="2"/>
      </rPr>
      <t xml:space="preserve">, </t>
    </r>
    <r>
      <rPr>
        <b/>
        <sz val="8"/>
        <color rgb="FF271A38"/>
        <rFont val="Arial"/>
        <family val="2"/>
      </rPr>
      <t>soit 21 jours ouvrés en juin 2020 x 7 h de travail journalier = 147</t>
    </r>
    <r>
      <rPr>
        <sz val="8"/>
        <color rgb="FF271A38"/>
        <rFont val="Arial"/>
        <family val="2"/>
      </rPr>
      <t xml:space="preserve"> heures sur le mois. Le taux, quant à lui, est calculé en prenant le nombre d'heures réelles d'absence, </t>
    </r>
    <r>
      <rPr>
        <b/>
        <sz val="8"/>
        <color rgb="FF271A38"/>
        <rFont val="Arial"/>
        <family val="2"/>
      </rPr>
      <t>soit 8 (nombre de jours ouvrés d'absence) * 7 heures = 56.</t>
    </r>
  </si>
  <si>
    <r>
      <t xml:space="preserve">Le montant des IJSS est calculé sur la </t>
    </r>
    <r>
      <rPr>
        <b/>
        <sz val="8"/>
        <color rgb="FF271A38"/>
        <rFont val="Arial"/>
        <family val="2"/>
      </rPr>
      <t>base des jours d'absence calendaires, une fois les 3 jours de carence déduits</t>
    </r>
    <r>
      <rPr>
        <sz val="8"/>
        <color rgb="FF271A38"/>
        <rFont val="Arial"/>
        <family val="2"/>
      </rPr>
      <t xml:space="preserve"> ; </t>
    </r>
    <r>
      <rPr>
        <b/>
        <sz val="8"/>
        <color rgb="FF271A38"/>
        <rFont val="Arial"/>
        <family val="2"/>
      </rPr>
      <t>soit 11 - 3 = 8</t>
    </r>
    <r>
      <rPr>
        <sz val="8"/>
        <color rgb="FF271A38"/>
        <rFont val="Arial"/>
        <family val="2"/>
      </rPr>
      <t> jours calendaires d'absence x 45,55 = 364,40 € à déduire du salaire brut.</t>
    </r>
  </si>
  <si>
    <r>
      <t xml:space="preserve">On prend donc </t>
    </r>
    <r>
      <rPr>
        <b/>
        <sz val="8"/>
        <color rgb="FF271A38"/>
        <rFont val="Arial"/>
        <family val="2"/>
      </rPr>
      <t>45,55 et on retire 6,70 %</t>
    </r>
    <r>
      <rPr>
        <sz val="8"/>
        <color rgb="FF271A38"/>
        <rFont val="Arial"/>
        <family val="2"/>
      </rPr>
      <t xml:space="preserve"> correspondant à la CSG et à la CRDS sur les revenus de remplacement.</t>
    </r>
  </si>
  <si>
    <r>
      <t>Cela nous donne un net de</t>
    </r>
    <r>
      <rPr>
        <b/>
        <sz val="8"/>
        <color rgb="FF271A38"/>
        <rFont val="Arial"/>
        <family val="2"/>
      </rPr>
      <t xml:space="preserve"> 42,50 x 8 jours = 339,98</t>
    </r>
    <r>
      <rPr>
        <sz val="8"/>
        <color rgb="FF271A38"/>
        <rFont val="Arial"/>
        <family val="2"/>
      </rPr>
      <t> € à verser au salarié.</t>
    </r>
  </si>
  <si>
    <t>La convention Syntec prévoit des indemnités conventionnelles différentes en fonction</t>
  </si>
  <si>
    <t>des cadres et des non cadres.</t>
  </si>
  <si>
    <t>Pour les ingénieurs et cadres, l’indemnité de licenciement Syntec est de 1/3 de</t>
  </si>
  <si>
    <t>mois de rémunération par année de présence.</t>
  </si>
  <si>
    <t>Quand aux ETAM, l’indemnité de licenciement entre 0,25 et 0,30 de rémunération</t>
  </si>
  <si>
    <t>par année de présence</t>
  </si>
  <si>
    <t>- 1/4 de mois de salaire par année d'ancienneté pour les 10 premières années</t>
  </si>
  <si>
    <t>- 1/3 de mois de salaire par année d'ancienneté à partir de la 11ème année</t>
  </si>
  <si>
    <t>* Lorsque le salarié a une ancienneté entre 2 et 20 ans d’ancienneté, son</t>
  </si>
  <si>
    <t>indemnité sera de 0,25 mois de rémunération par année de présence.</t>
  </si>
  <si>
    <t>* Lorsque son ancienneté est de plus de 20 ans, l’indemnité de licenciement est</t>
  </si>
  <si>
    <t>de 0,30 mois de rémunération</t>
  </si>
  <si>
    <t>Corrigé de l’activité</t>
  </si>
  <si>
    <t>Question 1 :</t>
  </si>
  <si>
    <t>Question 2 :</t>
  </si>
  <si>
    <t>Le mode de calcul reconnu par la Cour de Cassation est la “méthode horaire” ou “calcul</t>
  </si>
  <si>
    <t>au réel” car elle permet une stricte proportionnalité entre la retenue et la durée de l’absence</t>
  </si>
  <si>
    <t>(salaire brut / nombre d'heures du mois) x nombre d'heures d'absence =</t>
  </si>
  <si>
    <t>La Convention Collective Syntec prévoit un maintien de salaire de 100% pendant 3 mois
 à partir d’un an d’ancienneté. La salariée Lefèvre ayant un an et demi d’ancienneté ce
sont ces dispositions plus favorables que les dispositions légales que nous allons
appliquer.</t>
  </si>
  <si>
    <t>Son salaire est donc maintenu à hauteur de 100 % pendant 3 mois. Partant du principe qu'il n'a pas encore été malade pendant cette période, il entame donc ses droits avec cette absence. Nous prenons donc 100 % du salaire qui lui a été retiré, soit 1 236,19 x 100 % = 1 236,19 €.</t>
  </si>
  <si>
    <t>L'employeur va donc verser une indemnité de 1 236,19 € à son salarié au titre du maintien de salaire</t>
  </si>
  <si>
    <t>Maintenant que nous avons le gain journalier de base, nous pouvons calculer le montant des IJSS qui seront reversée à l’employeur en lieu et place de Marion, pour ensuite être calculées sur le bulletin</t>
  </si>
  <si>
    <t>Il s’agit du montant qui sera déduit en brut sur le bulletin de salaire</t>
  </si>
  <si>
    <t>Comme l’employeur maintient le salaire de Marion, la subrogation va s’appliquer, ce qui signifie qu’il va recevoir les IJSS directement à la place de Marion lorsqu’elles seront versées par la CPAM concernée</t>
  </si>
  <si>
    <t>Comme nous sommes en situation de subrogation, il va falloir verser le montant net des IJSS au salarié</t>
  </si>
  <si>
    <t>Le montant net des IJSS qui sera versé au salarié pour cette absence sera donc de : 8 x 42,50 = 340 €</t>
  </si>
  <si>
    <t>[3245/ (20x7)] x (11 x 7) =</t>
  </si>
  <si>
    <t>[3245 / 140] x 77 =</t>
  </si>
  <si>
    <t>23,18 x 77 = 1784,86 €</t>
  </si>
  <si>
    <r>
      <t xml:space="preserve">Pour le calcul de l'absence, la base est donc </t>
    </r>
    <r>
      <rPr>
        <b/>
        <sz val="8"/>
        <color rgb="FF271A38"/>
        <rFont val="Arial"/>
        <family val="2"/>
      </rPr>
      <t>en réel</t>
    </r>
    <r>
      <rPr>
        <sz val="8"/>
        <color rgb="FF271A38"/>
        <rFont val="Arial"/>
        <family val="2"/>
      </rPr>
      <t xml:space="preserve">, </t>
    </r>
    <r>
      <rPr>
        <b/>
        <sz val="8"/>
        <color rgb="FF271A38"/>
        <rFont val="Arial"/>
        <family val="2"/>
      </rPr>
      <t>soit 20 jours ouvrés en juin 2020 x 7 h de travail journalier = 140</t>
    </r>
    <r>
      <rPr>
        <sz val="8"/>
        <color rgb="FF271A38"/>
        <rFont val="Arial"/>
        <family val="2"/>
      </rPr>
      <t xml:space="preserve"> heures sur le mois. Le taux, quant à lui, est calculé en prenant le nombre d'heures réelles d'absence, </t>
    </r>
    <r>
      <rPr>
        <b/>
        <sz val="8"/>
        <color rgb="FF271A38"/>
        <rFont val="Arial"/>
        <family val="2"/>
      </rPr>
      <t>soit 11 (nombre de jours calendaires d'absence) * 7 heures = 77.</t>
    </r>
  </si>
  <si>
    <t>???</t>
  </si>
  <si>
    <t>a=La rémunération brute N-1 de l'année civile précédant le licenciement</t>
  </si>
  <si>
    <t>b=indemnité de licenciement totale perçue</t>
  </si>
  <si>
    <t>c=l'indemnité minimale légale ou conventionnelle</t>
  </si>
  <si>
    <t>d=50 % de l'indemnité totale perçue</t>
  </si>
  <si>
    <t>e=deux fois la rémunération annuelle brute de l'année civile précédente</t>
  </si>
  <si>
    <t>g=  le plus élevé des trois comme seuil d'exonération d'impôt sur le revenu</t>
  </si>
  <si>
    <t>f= 6 PMSS cumulés</t>
  </si>
  <si>
    <t>A =1)La partie exonérée d’impôt sur le revenu Mais ce montant ne peut pas dépasser 6 PASS</t>
  </si>
  <si>
    <t>Le surplus de 40 000 (120 000 € - 80 000 €) est imposable à IR =&gt; result = b-A</t>
  </si>
  <si>
    <t>h= 2)La limite de plafonnement de l’exonération de cotisations, soit 2 PASS (depuis le 1er janvier 2013). En 2020, ce montant est donc de 82 272 €.</t>
  </si>
  <si>
    <t xml:space="preserve">k= exonération de cotisations Cette limite correspond au plus petit montant entre </t>
  </si>
  <si>
    <t>Le surplus de 40 000 (120 000 € - 80 000 €) est soumise à cotisation  result = b-k</t>
  </si>
  <si>
    <t xml:space="preserve">l=CSG-CRDS  indemnité sera exonéré de CSG-CRDS pour le montant le plus bas entre </t>
  </si>
  <si>
    <t>Le surplus de  (120 000 € - 70 000 €) est soumise à CSG-CRDS</t>
  </si>
  <si>
    <t>L'indemnité de mise à la retraite'</t>
  </si>
  <si>
    <t>f= 5 PMSS cumulés</t>
  </si>
  <si>
    <t>Période incomplète : entrée – sortie en cours de mois</t>
  </si>
  <si>
    <t>Dans ce cadre, le plafond est réduit à due proportion du nombre de jours de la période pendant laquelle le salarié est employé, selon la formule suivante :</t>
  </si>
  <si>
    <t>plafond mensuel x nombre de jours de la période d'emploi / nombre de jours calendaires du mois</t>
  </si>
  <si>
    <t>Exemple : pour un salarié embauché à compter du 10 mai, le plafond à retenir pour ce mois est égal au plafond mensuel × 22 / 31.</t>
  </si>
  <si>
    <t>valeur mensuelle du plafond x (durée contractuelle + heures complémentaires) / durée légale* du travail ou Si la durée conventionnelle est inférieure à la durée légale de travai</t>
  </si>
  <si>
    <t xml:space="preserve"> +COP(45% SBRUT)</t>
  </si>
  <si>
    <t xml:space="preserve"> =CT</t>
  </si>
  <si>
    <t>salaire brut (soumis à cotisations) :</t>
  </si>
  <si>
    <t xml:space="preserve"> -les éléments du brut non imposables. (HS &gt;5 000 € par an)</t>
  </si>
  <si>
    <t xml:space="preserve"> -les cotisations sociales salariales déductibles ;</t>
  </si>
  <si>
    <t xml:space="preserve"> -la CSG déductible.</t>
  </si>
  <si>
    <t xml:space="preserve"> +la part patronale de la mutuelle ;</t>
  </si>
  <si>
    <t xml:space="preserve"> +la partie imposable des indemnités de départ (licenciement, rupture conventionnelle ou mise à la retraite, par exemple) ;Le surplus de 40 000 (120 000 € - 80 000 €) est imposable à IR =&gt; result = b-A</t>
  </si>
  <si>
    <t xml:space="preserve"> +le montant de la participation ou de l'intéressement en cas de versement direct.</t>
  </si>
  <si>
    <t xml:space="preserve"> =SNI</t>
  </si>
  <si>
    <t xml:space="preserve"> -PAS( un taux non personnalisé)</t>
  </si>
  <si>
    <t xml:space="preserve"> -la CSG/CRDS non déductible</t>
  </si>
  <si>
    <t xml:space="preserve"> -RF</t>
  </si>
  <si>
    <t xml:space="preserve"> +Remboursement(Avance+Note de frais +du forfait Navigo ou de frais professionnels)</t>
  </si>
  <si>
    <t xml:space="preserve"> =NAP</t>
  </si>
  <si>
    <t>Les allègements de cotisations</t>
  </si>
  <si>
    <t>La réduction générale des cotisations patronales sur les bas salaires (ex-réduction Fillon)</t>
  </si>
  <si>
    <t>Evolutions réglementaires</t>
  </si>
  <si>
    <r>
      <t xml:space="preserve">• </t>
    </r>
    <r>
      <rPr>
        <sz val="10"/>
        <color rgb="FF000000"/>
        <rFont val="ArialMT"/>
      </rPr>
      <t>Au 1</t>
    </r>
    <r>
      <rPr>
        <sz val="7"/>
        <color rgb="FF000000"/>
        <rFont val="ArialMT"/>
      </rPr>
      <t xml:space="preserve">er </t>
    </r>
    <r>
      <rPr>
        <sz val="10"/>
        <color rgb="FF000000"/>
        <rFont val="ArialMT"/>
      </rPr>
      <t>janvier 2020, les cotisations prises en compte dans le coefficient T sont les cotisations</t>
    </r>
  </si>
  <si>
    <t>URSSAF, les cotisations AGIRC-ARRCO et les cotisations assurance chômage pour tous les</t>
  </si>
  <si>
    <t>salariés éligibles à l’allègement général</t>
  </si>
  <si>
    <t>La fraction de taux de cotisation AT/MP comprise dans le périmètre de la réduction générale est</t>
  </si>
  <si>
    <t>fixée à 0,69 point en 2020 (au lieu de 0,78 point en 2019)</t>
  </si>
  <si>
    <t>Cotisations prises en compte</t>
  </si>
  <si>
    <t>Les cotisations prises en compte dans la détermination du coefficient T sont les suivantes :</t>
  </si>
  <si>
    <r>
      <t xml:space="preserve">• </t>
    </r>
    <r>
      <rPr>
        <sz val="10"/>
        <color rgb="FF000000"/>
        <rFont val="ArialMT"/>
      </rPr>
      <t>7% cotisation assurance maladie, maternité, invalidité, décès</t>
    </r>
  </si>
  <si>
    <r>
      <t xml:space="preserve">• </t>
    </r>
    <r>
      <rPr>
        <sz val="10"/>
        <color rgb="FF000000"/>
        <rFont val="ArialMT"/>
      </rPr>
      <t>0,30% contribution solidarité autonomie</t>
    </r>
  </si>
  <si>
    <r>
      <t xml:space="preserve">• </t>
    </r>
    <r>
      <rPr>
        <sz val="10"/>
        <color rgb="FF000000"/>
        <rFont val="ArialMT"/>
      </rPr>
      <t>1,90% cotisation assurance vieillesse en totalité</t>
    </r>
  </si>
  <si>
    <r>
      <t xml:space="preserve">• </t>
    </r>
    <r>
      <rPr>
        <sz val="10"/>
        <color rgb="FF000000"/>
        <rFont val="ArialMT"/>
      </rPr>
      <t>8,55% cotisation assurance vieillesse plafonnée</t>
    </r>
  </si>
  <si>
    <r>
      <t xml:space="preserve">• </t>
    </r>
    <r>
      <rPr>
        <sz val="10"/>
        <color rgb="FF000000"/>
        <rFont val="ArialMT"/>
      </rPr>
      <t>3,45% cotisation allocations familiales</t>
    </r>
  </si>
  <si>
    <r>
      <t xml:space="preserve">• </t>
    </r>
    <r>
      <rPr>
        <sz val="10"/>
        <color rgb="FF000000"/>
        <rFont val="ArialMT"/>
      </rPr>
      <t>0,10% ou 0,50 % FNAL</t>
    </r>
  </si>
  <si>
    <r>
      <t xml:space="preserve">• </t>
    </r>
    <r>
      <rPr>
        <sz val="10"/>
        <color rgb="FFCC9000"/>
        <rFont val="ArialMT"/>
      </rPr>
      <t>Cotisation AT dans la limite de 0,69%</t>
    </r>
  </si>
  <si>
    <r>
      <t xml:space="preserve">• </t>
    </r>
    <r>
      <rPr>
        <sz val="10"/>
        <color rgb="FF000000"/>
        <rFont val="ArialMT"/>
      </rPr>
      <t>4,05% contribution assurance chômage</t>
    </r>
  </si>
  <si>
    <r>
      <t xml:space="preserve">• </t>
    </r>
    <r>
      <rPr>
        <sz val="10"/>
        <color rgb="FF000000"/>
        <rFont val="ArialMT"/>
      </rPr>
      <t>Cotisation retraite T1 et CEG T1 dans la limite de 6,01% (4,72% + 1,29%)</t>
    </r>
  </si>
  <si>
    <t>Soit un coefficient T égal à :</t>
  </si>
  <si>
    <t>T</t>
  </si>
  <si>
    <r>
      <t xml:space="preserve">• </t>
    </r>
    <r>
      <rPr>
        <sz val="10"/>
        <rFont val="ArialMT"/>
      </rPr>
      <t>0,3205 pour une entreprise soumise au FNAL à 0,10%</t>
    </r>
  </si>
  <si>
    <r>
      <t xml:space="preserve">• </t>
    </r>
    <r>
      <rPr>
        <sz val="10"/>
        <rFont val="ArialMT"/>
      </rPr>
      <t>0,3245 pour une entreprise soumise au FNAL à 0,50%</t>
    </r>
  </si>
  <si>
    <t>Plafonnement de l’allégement général pour les employeurs éligibles à la</t>
  </si>
  <si>
    <t>déduction forfaitaire spécifique (DFS)</t>
  </si>
  <si>
    <t>A compter du 1er janvier 2020, les allègements généraux dont bénéficient les employeurs éligibles à la</t>
  </si>
  <si>
    <t>déduction forfaitaire spécifique pour frais professionnels sont plafonnés à 130% des allègements</t>
  </si>
  <si>
    <t>auxquels a droit un employeur de droit commun pour un salarié à même niveau de salaire</t>
  </si>
  <si>
    <t>Ainsi, le montant de la réduction générale des cotisations sociales calculé pour les rémunérations après</t>
  </si>
  <si>
    <t>application de l’abattement forfaitaire ne peut excéder, pour ces rémunérations, 130 % du montant de la</t>
  </si>
  <si>
    <t>réduction calculé sans application du même abattement</t>
  </si>
  <si>
    <t>Les étapes de calcul</t>
  </si>
  <si>
    <r>
      <t xml:space="preserve">• </t>
    </r>
    <r>
      <rPr>
        <sz val="10"/>
        <color rgb="FF000000"/>
        <rFont val="ArialMT"/>
      </rPr>
      <t>1</t>
    </r>
    <r>
      <rPr>
        <sz val="7"/>
        <color rgb="FF000000"/>
        <rFont val="ArialMT"/>
      </rPr>
      <t xml:space="preserve">ère </t>
    </r>
    <r>
      <rPr>
        <sz val="10"/>
        <color rgb="FF000000"/>
        <rFont val="ArialMT"/>
      </rPr>
      <t>étape : calcul de l’allègement général avec application de la DFS</t>
    </r>
  </si>
  <si>
    <r>
      <t xml:space="preserve">• </t>
    </r>
    <r>
      <rPr>
        <sz val="10"/>
        <color rgb="FF000000"/>
        <rFont val="ArialMT"/>
      </rPr>
      <t>2</t>
    </r>
    <r>
      <rPr>
        <sz val="7"/>
        <color rgb="FF000000"/>
        <rFont val="ArialMT"/>
      </rPr>
      <t xml:space="preserve">ème </t>
    </r>
    <r>
      <rPr>
        <sz val="10"/>
        <color rgb="FF000000"/>
        <rFont val="ArialMT"/>
      </rPr>
      <t>étape : calcul de l’allégement général sans application de la DFS</t>
    </r>
  </si>
  <si>
    <r>
      <t xml:space="preserve">• </t>
    </r>
    <r>
      <rPr>
        <sz val="10"/>
        <color rgb="FF000000"/>
        <rFont val="ArialMT"/>
      </rPr>
      <t>3</t>
    </r>
    <r>
      <rPr>
        <sz val="7"/>
        <color rgb="FF000000"/>
        <rFont val="ArialMT"/>
      </rPr>
      <t xml:space="preserve">ème </t>
    </r>
    <r>
      <rPr>
        <sz val="10"/>
        <color rgb="FF000000"/>
        <rFont val="ArialMT"/>
      </rPr>
      <t>étape : calcul du plafond de 130 % sur le montant calculé en étape 2 (AG sans DFS)</t>
    </r>
  </si>
  <si>
    <r>
      <t xml:space="preserve">• </t>
    </r>
    <r>
      <rPr>
        <sz val="10"/>
        <color rgb="FF000000"/>
        <rFont val="ArialMT"/>
      </rPr>
      <t>4</t>
    </r>
    <r>
      <rPr>
        <sz val="7"/>
        <color rgb="FF000000"/>
        <rFont val="ArialMT"/>
      </rPr>
      <t xml:space="preserve">ème </t>
    </r>
    <r>
      <rPr>
        <sz val="10"/>
        <color rgb="FF000000"/>
        <rFont val="ArialMT"/>
      </rPr>
      <t>étape : comparaison de l’allégement général avec DFS (montant étape 1) par rapport</t>
    </r>
  </si>
  <si>
    <t>au plafond (montant étape 3)</t>
  </si>
  <si>
    <t>Si le montant de l’allègement général avec application de la DFS (montant étape 1) est inférieur au</t>
  </si>
  <si>
    <t>plafond de 130% (montant étape 3), l’allègement général avec DFS (montant étape 1) est appliqué</t>
  </si>
  <si>
    <t>sinon il y a plafonnement de l’allègement général.</t>
  </si>
  <si>
    <t>Le plafond de 130% est annuel</t>
  </si>
  <si>
    <t>Si la déduction forfaitaire spécifique s'arrête en cours d’année car le plafond d’abattement de 7600€ est</t>
  </si>
  <si>
    <t>atteint, il convient de continuer à appliquer la comparaison des 130% sur toute l'année</t>
  </si>
  <si>
    <t>Exemples de calcul</t>
  </si>
  <si>
    <t>Exemple 1 :</t>
  </si>
  <si>
    <t>Mois de janvier 2020, salaire de 1600 € et une DFS de 10%</t>
  </si>
  <si>
    <t>Rémunération abattue = 1600 € x (1 - 0,10) = 1440 €</t>
  </si>
  <si>
    <r>
      <t>1</t>
    </r>
    <r>
      <rPr>
        <sz val="6"/>
        <color rgb="FF595959"/>
        <rFont val="ArialMT"/>
      </rPr>
      <t xml:space="preserve">ère </t>
    </r>
    <r>
      <rPr>
        <sz val="9"/>
        <color rgb="FF595959"/>
        <rFont val="ArialMT"/>
      </rPr>
      <t>étape : calcul de l’allègement général avec application de la DFS</t>
    </r>
  </si>
  <si>
    <t>Coefficient = (0,3245 / 0,6) x ((1,6 x (1539,45 € / 1440 €)) -1) = 0,3843 -&gt; 0,3245</t>
  </si>
  <si>
    <t>Montant AG avec DFS = 1440 € x 0,3245 = 467,28 €</t>
  </si>
  <si>
    <r>
      <t>2</t>
    </r>
    <r>
      <rPr>
        <sz val="6"/>
        <color rgb="FF595959"/>
        <rFont val="ArialMT"/>
      </rPr>
      <t xml:space="preserve">ème </t>
    </r>
    <r>
      <rPr>
        <sz val="9"/>
        <color rgb="FF595959"/>
        <rFont val="ArialMT"/>
      </rPr>
      <t>étape : calcul de l’allégement général sans application de la DFS</t>
    </r>
  </si>
  <si>
    <t>Coefficient = (0,3245 / 0,6) x ((1,6 x (1539,45 € / 1600 €)) -1) = 0,2918</t>
  </si>
  <si>
    <t>Montant AG sans DFS = 1600 € x 0,2918 = 466,88 €</t>
  </si>
  <si>
    <r>
      <t>3</t>
    </r>
    <r>
      <rPr>
        <sz val="6"/>
        <color rgb="FF595959"/>
        <rFont val="ArialMT"/>
      </rPr>
      <t xml:space="preserve">ème </t>
    </r>
    <r>
      <rPr>
        <sz val="9"/>
        <color rgb="FF595959"/>
        <rFont val="ArialMT"/>
      </rPr>
      <t>étape : calcul du plafond de 130 %</t>
    </r>
  </si>
  <si>
    <t>Plafond = 466,88 € x 1,3 = 606,94 €</t>
  </si>
  <si>
    <r>
      <t>4</t>
    </r>
    <r>
      <rPr>
        <sz val="6"/>
        <color rgb="FF595959"/>
        <rFont val="ArialMT"/>
      </rPr>
      <t xml:space="preserve">ème </t>
    </r>
    <r>
      <rPr>
        <sz val="9"/>
        <color rgb="FF595959"/>
        <rFont val="ArialMT"/>
      </rPr>
      <t>étape : comparaison de l’allégement général avec DFS par rapport au plafond</t>
    </r>
  </si>
  <si>
    <t>Montant AG avec DFS (467,28 €) &lt; plafond (606,94 €)</t>
  </si>
  <si>
    <r>
      <t xml:space="preserve"> </t>
    </r>
    <r>
      <rPr>
        <sz val="9"/>
        <color rgb="FF595959"/>
        <rFont val="ArialMT"/>
      </rPr>
      <t>Pas de plafonnement, on prend le montant AG avec DFS</t>
    </r>
  </si>
  <si>
    <t>Montant AG du mois janvier = 467,28 €</t>
  </si>
  <si>
    <t>Montant Urssaf/AC = 467,28 x (0,2644 / 0,3245) = 380,74 €</t>
  </si>
  <si>
    <t>Montant Agirc-Arrco = 467,28 x (0,0601 / 0,3245) = 86,54 €</t>
  </si>
  <si>
    <t>Salaire 01/2020</t>
  </si>
  <si>
    <t>DFS 10%</t>
  </si>
  <si>
    <t>Rémunération abattue</t>
  </si>
  <si>
    <t>Montant de l’allégement = Rémunération brute mensuelle x coefficient</t>
  </si>
  <si>
    <r>
      <t xml:space="preserve">Coefficient = </t>
    </r>
    <r>
      <rPr>
        <b/>
        <sz val="11"/>
        <color rgb="FF92D050"/>
        <rFont val="Calibri"/>
        <family val="2"/>
        <scheme val="minor"/>
      </rPr>
      <t>T</t>
    </r>
    <r>
      <rPr>
        <b/>
        <sz val="11"/>
        <color theme="1"/>
        <rFont val="Calibri"/>
        <family val="2"/>
        <scheme val="minor"/>
      </rPr>
      <t>/0,6 x ((1,6 * SMIC horaire x nb d’heures rémunérées/Rémunération brute mensuelle)- 1)</t>
    </r>
  </si>
  <si>
    <t>SMIC horaire</t>
  </si>
  <si>
    <t>nb d’heures rémunérées</t>
  </si>
  <si>
    <t>1ère étape (Coefficient)</t>
  </si>
  <si>
    <t xml:space="preserve">Montant AG avec DFS </t>
  </si>
  <si>
    <t>2ème étape</t>
  </si>
  <si>
    <t xml:space="preserve">Montant AG sans DFS </t>
  </si>
  <si>
    <t>3ème étape : calcul du plafond de 130 %</t>
  </si>
  <si>
    <t>4ème étape : comparaison de l’allégement général avec DFS par rapport au plafond</t>
  </si>
  <si>
    <t>Montant AG du mois janvier</t>
  </si>
  <si>
    <t>Montant Urssaf/AC</t>
  </si>
  <si>
    <t>Montant Agirc-Arrco</t>
  </si>
  <si>
    <t>=</t>
  </si>
  <si>
    <t>Exemple 2 :</t>
  </si>
  <si>
    <t>Mois de janvier 2020, salaire de 2000 € et une DFS de 20%</t>
  </si>
  <si>
    <t>Rémunération abattue = 2000 € x 0,80 = 1600 €</t>
  </si>
  <si>
    <t>Montant AG avec DFS = 1600 € x 0,2918 = 466,88 €</t>
  </si>
  <si>
    <r>
      <t>2</t>
    </r>
    <r>
      <rPr>
        <sz val="6"/>
        <color rgb="FF595959"/>
        <rFont val="ArialMT"/>
      </rPr>
      <t xml:space="preserve">e </t>
    </r>
    <r>
      <rPr>
        <sz val="9"/>
        <color rgb="FF595959"/>
        <rFont val="ArialMT"/>
      </rPr>
      <t>étape : calcul de l’allégement général sans application de la DFS</t>
    </r>
  </si>
  <si>
    <t>Coefficient = (0,3245 / 0,6) x ((1,6 x (1539,45 € / 2000 €)) -1) = 0,1252</t>
  </si>
  <si>
    <t>Montant AG sans DFS = 2000 € x 0,1252 = 250,40 €</t>
  </si>
  <si>
    <t>Plafond = 250,40 € x 1,30 = 325,52 €</t>
  </si>
  <si>
    <t>Montant AG avec DFS (466,88 €) &gt; plafond (325,52 €)</t>
  </si>
  <si>
    <r>
      <t xml:space="preserve"> </t>
    </r>
    <r>
      <rPr>
        <sz val="9"/>
        <color rgb="FF595959"/>
        <rFont val="ArialMT"/>
      </rPr>
      <t>Plafonnement</t>
    </r>
  </si>
  <si>
    <t>Montant AG du mois de janvier = 325,52 € (soit une diminution du montant de 141,36 €)</t>
  </si>
  <si>
    <t>Montant Urssaf/AC = 325,52 € x (0,2644 / 0,3245) = 265,23 €</t>
  </si>
  <si>
    <t>Montant Agirc-Arrco = 325,52 € x (0,0601 / 0,3245) = 60,29 €</t>
  </si>
  <si>
    <t>DFS 20%</t>
  </si>
  <si>
    <t>Mois de février 2020, salaire de 2200 € et une DFS de 20%</t>
  </si>
  <si>
    <t>Rémunération abattue = 2200 € x 0,80 = 1760 €</t>
  </si>
  <si>
    <t>Coefficient = (0,3245 / 0,6) x ((1,6 x (3078,90 € / 3360 €)) -1) = 0,2521</t>
  </si>
  <si>
    <t>Montant AG avec DFS = 3360 € x 0,2521 = 847,06 €</t>
  </si>
  <si>
    <t>Coefficient = (0,3245 / 0,6) x ((1,6 x (3078,90 € / 4200 €)) -1) = 0,0935</t>
  </si>
  <si>
    <t>Montant AG sans DFS = 4200 € x 0,0935 = 392,70 €</t>
  </si>
  <si>
    <t>Plafond = 392,70 € x 1,30 = 510.51 €</t>
  </si>
  <si>
    <t>© Sage – Nouveautés du Plan de Paie Sage Page 10 sur 44</t>
  </si>
  <si>
    <t>Montant AG avec DFS (847,06 €) &gt; plafond (510,51 €)</t>
  </si>
  <si>
    <t>Montant AG du mois de février = 510.51 € - 325,52 € = 184,99 €</t>
  </si>
  <si>
    <t>Montant Urssaf/AC = 184,99 € x (0,2644 / 0,3245) = 150,73 €</t>
  </si>
  <si>
    <t>Montant Agirc-Arrco = 184,99 € x (0,0601 / 0,3245) = 34,26 €</t>
  </si>
  <si>
    <t>Salaire 02/2020</t>
  </si>
  <si>
    <t xml:space="preserve">CUMUL </t>
  </si>
  <si>
    <t>Fnal (&gt;=50 salariés)</t>
  </si>
  <si>
    <t>Les adaptations dans votre dossier (DFS et remboursement de frais)</t>
  </si>
  <si>
    <t>Si vous pratiquez des remboursements de frais professionnels et de la déduction forfaitaire spécifique,</t>
  </si>
  <si>
    <t>le montant de remboursement de frais ne doit pas entrer dans le total brut utilisé pour le calcul de</t>
  </si>
  <si>
    <t>l’allègement général sans DFS.</t>
  </si>
  <si>
    <t>© Sage – Nouveautés du Plan de Paie Sage Page 13 sur 44</t>
  </si>
  <si>
    <t>Exemple publié sur le site de l’URSSAF :</t>
  </si>
  <si>
    <t>Un salarié est rémunéré 1 600 € brut par mois dans un entreprise de plus de 50 salariés.</t>
  </si>
  <si>
    <t>Il bénéfice d’un remboursement de frais professionnels à hauteur de 100 €. L’abattement au titre de la DFS est de</t>
  </si>
  <si>
    <t>10 %.</t>
  </si>
  <si>
    <t>Calcul du montant de la réduction générale avec application de la DFS :</t>
  </si>
  <si>
    <r>
      <t xml:space="preserve">• </t>
    </r>
    <r>
      <rPr>
        <sz val="9"/>
        <color rgb="FF595959"/>
        <rFont val="ArialMT"/>
      </rPr>
      <t>Calcul de l’assiette des cotisations avec abattement DFS : (1 600 + 100) - 10 % = 1 530 €</t>
    </r>
  </si>
  <si>
    <r>
      <t xml:space="preserve">• </t>
    </r>
    <r>
      <rPr>
        <sz val="9"/>
        <color rgb="FF595959"/>
        <rFont val="ArialMT"/>
      </rPr>
      <t>Calcul du coefficient de la réduction générale : (0,3245 / 0,6) × (1,6 × (1 539,42 / 1 530) - 1) = 0,3298</t>
    </r>
  </si>
  <si>
    <r>
      <t xml:space="preserve">• </t>
    </r>
    <r>
      <rPr>
        <sz val="9"/>
        <color rgb="FF595959"/>
        <rFont val="ArialMT"/>
      </rPr>
      <t>Montant de la réduction générale : 1 530 × 0,3298 = 504,59 €</t>
    </r>
  </si>
  <si>
    <t>Calcul du montant de la réduction générale sans application de la DFS :</t>
  </si>
  <si>
    <r>
      <t xml:space="preserve">• </t>
    </r>
    <r>
      <rPr>
        <sz val="9"/>
        <color rgb="FF595959"/>
        <rFont val="ArialMT"/>
      </rPr>
      <t>Assiette des cotisations : 1 600 €</t>
    </r>
  </si>
  <si>
    <r>
      <t xml:space="preserve">• </t>
    </r>
    <r>
      <rPr>
        <sz val="9"/>
        <color rgb="FF595959"/>
        <rFont val="ArialMT"/>
      </rPr>
      <t>Calcul du coefficient de la réduction générale : (0,3245 / 0,6) × (1,6 × (1 539,42 / 1 600) - 1) = 0,2917</t>
    </r>
  </si>
  <si>
    <r>
      <t xml:space="preserve">• </t>
    </r>
    <r>
      <rPr>
        <sz val="9"/>
        <color rgb="FF595959"/>
        <rFont val="ArialMT"/>
      </rPr>
      <t>Montant de la réduction générale : 1 600 × 0,2917 = 466,72 €</t>
    </r>
  </si>
  <si>
    <t>Calcul du plafonnement :</t>
  </si>
  <si>
    <r>
      <t xml:space="preserve">• </t>
    </r>
    <r>
      <rPr>
        <sz val="9"/>
        <color rgb="FF595959"/>
        <rFont val="ArialMT"/>
      </rPr>
      <t>466,72 € × 30 % = 140,02</t>
    </r>
  </si>
  <si>
    <r>
      <t xml:space="preserve">• </t>
    </r>
    <r>
      <rPr>
        <sz val="9"/>
        <color rgb="FF595959"/>
        <rFont val="ArialMT"/>
      </rPr>
      <t>466,72 € + 140,02 = 606,74 €</t>
    </r>
  </si>
  <si>
    <t>Le montant de la réduction générale avec application de la DFS ne doit pas dépasser 606,74 €.</t>
  </si>
  <si>
    <t>La réduction générale calculée avec application de la DFS est de 504,59 €, elle ne dépasse pas 606,74 € donc le</t>
  </si>
  <si>
    <t>montant de la réduction générale ne sera pas plafonné.</t>
  </si>
  <si>
    <t>Le montant de la réduction générale appliqué par l’employeur sera de 504,59 €.</t>
  </si>
  <si>
    <t>Remb de frais profess</t>
  </si>
  <si>
    <t xml:space="preserve">T = somme des taux des cotisations d’assurances sociales, Allocations familiales, FNAL, contribution
</t>
  </si>
  <si>
    <t>Proratisation plafond de sécurité sociale</t>
  </si>
  <si>
    <t>Forfait jour réduit</t>
  </si>
  <si>
    <t>Extrait du BOSS / Assiette générale – Chapitre 6 :</t>
  </si>
  <si>
    <r>
      <t xml:space="preserve">« </t>
    </r>
    <r>
      <rPr>
        <b/>
        <i/>
        <sz val="10"/>
        <color rgb="FF000000"/>
        <rFont val="Arial-BoldItalicMT"/>
      </rPr>
      <t xml:space="preserve">Section 830 : </t>
    </r>
    <r>
      <rPr>
        <i/>
        <sz val="10"/>
        <color rgb="FF000000"/>
        <rFont val="Arial-ItalicMT"/>
      </rPr>
      <t>Le plafond applicable aux salariés soumis à un régime de forfait annuel en jours dont</t>
    </r>
  </si>
  <si>
    <t>la durée est inférieure à 218 jours sur l’année, peut également être réduit, dans les mêmes conditions.</t>
  </si>
  <si>
    <t>La formule applicable est alors la suivante :</t>
  </si>
  <si>
    <t>Si la durée conventionnelle ou de branche est inférieure à la durée de 218 jours, celle-ci est retenue dans la formule</t>
  </si>
  <si>
    <t>Valeur mensuelle du plafond x (durée du forfait en jours / 218 jours ou Si la durée conventionnelle ou de branche est inférieure à la durée de 218 jours) »</t>
  </si>
  <si>
    <t>La modification apportée par le BOSS n’oblige pas à l’application d’un prorata du plafond de sécurité sociale. Si vous souhaitez l’appliquer, les modifications ci-dessous sont à apporter dans votre dossier</t>
  </si>
  <si>
    <t>Calcul de la TPI</t>
  </si>
  <si>
    <t>Pour cela il faut d’abord calculer le prix de revient du bien immobilier à vendre.</t>
  </si>
  <si>
    <t>On ajoute au prix d’achat du bien 15% de frais d’acquisition forfaitaires accordés par l’état. Ils comprennent les frais d’agence immobilière, les frais de notaire, les droits d’enregistrement, les frais de la conservation foncière …</t>
  </si>
  <si>
    <t>Si on dépasse les 15% et qu’on dispose de justificatifs, on peut les réclamer.</t>
  </si>
  <si>
    <t>Les dépenses d’investissement peuvent également être prises en compte si elles sont justifiées par des factures. Cela concerne tous les travaux d’entretien et de remise en état (peinture, revêtement, …)</t>
  </si>
  <si>
    <t>Si le bien a été acheté avec un crédit bancaire, les intérêts de l’emprunt sont également ajoutés</t>
  </si>
  <si>
    <t>Ensuite, on multiplie le tout par le coefficient de réévaluation, ce coefficient est calculé chaque année et est communiqué par le ministère des finances.</t>
  </si>
  <si>
    <t>Le prix total du bien immobilier est égal au prix de revient comprenant tous les éléments précédents multiplié par le coefficient de réévaluation.</t>
  </si>
  <si>
    <t>L’impôt sur le profit immobilier représente 20% de la plus-value, c’est-à-dire 20% de la différence entre le prix de vente et le prix de revient.</t>
  </si>
  <si>
    <t>Par ailleurs, la cotisation minimale est de 3% du prix de vente : on paie au minimum 3% du prix de vente si le résultat de calcul est inférieur à 3%, s’il est supérieur à 3%, c’est ce résultat qui sera pris en compte.</t>
  </si>
  <si>
    <t>Taux d’imposition</t>
  </si>
  <si>
    <t>– 20% pour les biens immeubles (appartement ou villa dans le périmètre urbain)</t>
  </si>
  <si>
    <t>– 20% pour les terrains agricoles</t>
  </si>
  <si>
    <t>– 30% pour la première vente d’un terrain non bâti en zone urbaine. 20% pour la 2ème vente si vous le gardez moins de 4 ans, 25% si c’est entre 4 et 6 ans et 30% si c’est plus de 6 ans.</t>
  </si>
  <si>
    <t>Exemple</t>
  </si>
  <si>
    <t>Le cas d’un appartement de 110 m² acheté en 2014 à 15 500 DH/m² et vendu en 2017 à 21 000 DH/m²</t>
  </si>
  <si>
    <t>Prix d’acquisition en 2014 (15 500 DH/m²)</t>
  </si>
  <si>
    <t>Frais d’acquisition forfaitaires (15%)</t>
  </si>
  <si>
    <t>Coefficient de réévaluation 2014</t>
  </si>
  <si>
    <t>Coût de revient</t>
  </si>
  <si>
    <t>Prix de vente en 2017 (21 000 DH/m²)</t>
  </si>
  <si>
    <t>Profit imposable</t>
  </si>
  <si>
    <t>20% du profit</t>
  </si>
  <si>
    <t>Le montant de la TPI à payer est donc de 83 054,76 DH</t>
  </si>
  <si>
    <t>Superficie</t>
  </si>
  <si>
    <t>px achat</t>
  </si>
  <si>
    <t>Minimum de perception (3% du prix de vente) =&gt; cotisation minimale</t>
  </si>
  <si>
    <t>Année d’acquisition : 2006</t>
  </si>
  <si>
    <t>Prix de vente : 14.000 DHS / m2</t>
  </si>
  <si>
    <t>Année de la vente : 2014</t>
  </si>
  <si>
    <t>Superfcie : 84 m2</t>
  </si>
  <si>
    <t>Prix du référentiel : 16.000 DHS / m2</t>
  </si>
  <si>
    <t>(zone CC-SB15)</t>
  </si>
  <si>
    <t>Exemple de calcul de la TPI pour la vente d’un appartement à Casablanca</t>
  </si>
  <si>
    <t>Prix de vente déclaré</t>
  </si>
  <si>
    <t>Prix du référentiel</t>
  </si>
  <si>
    <t>Prix d’achat ( = Pacq * SAppt )</t>
  </si>
  <si>
    <t>Frais de l’agence immobilière ( = 3 % x Pacq )</t>
  </si>
  <si>
    <t>Droits d’enregistrement (= 3 % x Pacq )</t>
  </si>
  <si>
    <t>Conservation foncière ( = 1 % x Pacq )</t>
  </si>
  <si>
    <t>Taxe notariale ( = 0,5 % x Pacq</t>
  </si>
  <si>
    <t>Honoraires du notaire ( = 1 % x Pacq )</t>
  </si>
  <si>
    <t>Frais divers (timbres, droits fxes, … )</t>
  </si>
  <si>
    <t>Total des frais d’acquisition réellement payés (a)</t>
  </si>
  <si>
    <t>Frais d’acquisition forfaitaire de 15 % (selon l’Administration des Impôts) (b)</t>
  </si>
  <si>
    <t>Prix d’achat + forfait de frais ( = Pacq + Max ( (a) ; (b) ) ) (1)</t>
  </si>
  <si>
    <t>Coefcient de réévaluation (basé sur les indices publiés dans le BO en 2014)</t>
  </si>
  <si>
    <t>Coût d’acquisition total réévalué ( (1) * CoefAcq )</t>
  </si>
  <si>
    <t>Prix de vente ( = PVente * SAppt )</t>
  </si>
  <si>
    <t>Prix de cession net</t>
  </si>
  <si>
    <t>Proft Taxable ( PT )</t>
  </si>
  <si>
    <t>TPI Théorique ( = 20 % * PT)(c)</t>
  </si>
  <si>
    <t>TPI Minimale ( = 3% * PVente)(d)</t>
  </si>
  <si>
    <t>TPI à payer ( = Max((c);(d)))</t>
  </si>
  <si>
    <t>Complément à payer (si redressement)</t>
  </si>
  <si>
    <t>Complément à payer avec majoration de 25 %</t>
  </si>
  <si>
    <t>Prix d’acquisition : 10.000 DHS / m2</t>
  </si>
  <si>
    <t>Frais de l’agence immobilière (3 % de vente)</t>
  </si>
  <si>
    <t>Px Acq</t>
  </si>
  <si>
    <t>Références : Bulletin Officiel n° 4910 – Bulletin Officiel n° 6236 – Loi des Finances 2013 (passage de 8 à 6 ans pour l’habitation principale) – Modèle ADP020F-11E</t>
  </si>
  <si>
    <t>4. Si le prix de vente est inférieur au prix du référentiel</t>
  </si>
  <si>
    <t>Option 1 : Payer uniquement les 35.280 DHS correspondant au prix effectif déclaré. Dans ce cas là, vous recevrez une première notification. Vous aurez 30 jours à compter de la réception de la première notification pour y répondre.</t>
  </si>
  <si>
    <t>Après avoir répondu dans les délais, une deuxième notification vous sera envoyée, avec un délai de réponse de 30 jours également. Vous pourrez demander explicitement le pourvoi devant la Commission Locale de Taxation (CLT).</t>
  </si>
  <si>
    <t>La décision de la CLT pourra être contestée devant la Commission Nationale du Recours Fiscal (CNRF) dans les délais et les conditions prévus</t>
  </si>
  <si>
    <t>Option 2 : Même si le prix de vente réel est de 1.176.000 DH, vous acceptez, dès le début, de calculer et de payer sur la base du prix indiqué dans le référentiel, soit 84 x 16.000 = 1.344.000 DH. Vous paierez donc, en principal, un impôt de 40.320 DH et de cette manière, vous pourrez éviter les majorations, les intérêts de retard et surtout les démarches administratives qui sont parfois longues et pénibles.</t>
  </si>
  <si>
    <t>Le montant des cotisations est majoré de :</t>
  </si>
  <si>
    <r>
      <t xml:space="preserve">• </t>
    </r>
    <r>
      <rPr>
        <sz val="10"/>
        <color rgb="FF000000"/>
        <rFont val="ArialMT"/>
      </rPr>
      <t>100/90 pour les salariés affiliés à une caisse de congés payés</t>
    </r>
  </si>
  <si>
    <t>Affiliation à une caisse de congés payés</t>
  </si>
  <si>
    <r>
      <t>Depuis le 1</t>
    </r>
    <r>
      <rPr>
        <sz val="7"/>
        <color rgb="FF000000"/>
        <rFont val="ArialMT"/>
      </rPr>
      <t xml:space="preserve">er </t>
    </r>
    <r>
      <rPr>
        <sz val="10"/>
        <color rgb="FF000000"/>
        <rFont val="ArialMT"/>
      </rPr>
      <t>janvier 2015, le coefficient de l’allègement général de cotisations patronales est déterminé</t>
    </r>
  </si>
  <si>
    <t>de la manière suivante :</t>
  </si>
  <si>
    <t>Pour un temps complet :</t>
  </si>
  <si>
    <r>
      <t xml:space="preserve">Coefficient </t>
    </r>
    <r>
      <rPr>
        <sz val="10"/>
        <color rgb="FF000000"/>
        <rFont val="ArialMT"/>
      </rPr>
      <t>= Le coefficient est pris dans la limite de T x 100/90</t>
    </r>
  </si>
  <si>
    <r>
      <t xml:space="preserve">Coefficient = </t>
    </r>
    <r>
      <rPr>
        <b/>
        <sz val="11"/>
        <color rgb="FF92D050"/>
        <rFont val="Calibri"/>
        <family val="2"/>
        <scheme val="minor"/>
      </rPr>
      <t>T</t>
    </r>
    <r>
      <rPr>
        <b/>
        <sz val="11"/>
        <color theme="1"/>
        <rFont val="Calibri"/>
        <family val="2"/>
        <scheme val="minor"/>
      </rPr>
      <t>/0,6 x ((1,6 * SMIC horaire x nb d’heures rémunérées/Rémunération brute mensuelle)- 1)*100/90</t>
    </r>
  </si>
  <si>
    <r>
      <t xml:space="preserve">• </t>
    </r>
    <r>
      <rPr>
        <sz val="10"/>
        <color rgb="FFCC9000"/>
        <rFont val="ArialMT"/>
      </rPr>
      <t>Cotisation AT dans la limite de 0,70%</t>
    </r>
  </si>
  <si>
    <r>
      <t xml:space="preserve">solidarité, accident du travail (dans la limite de </t>
    </r>
    <r>
      <rPr>
        <sz val="11"/>
        <color rgb="FFFF0000"/>
        <rFont val="Calibri"/>
        <family val="2"/>
        <scheme val="minor"/>
      </rPr>
      <t>0.69%</t>
    </r>
    <r>
      <rPr>
        <sz val="11"/>
        <color theme="1"/>
        <rFont val="Calibri"/>
        <family val="2"/>
        <scheme val="minor"/>
      </rPr>
      <t>), assurance chômage et cotisations retraite</t>
    </r>
  </si>
  <si>
    <t>Société soumise au FNAL à 0,50%.</t>
  </si>
  <si>
    <t>Mois de janvier 2021, salaire de 1600 € et une DFS de 10%</t>
  </si>
  <si>
    <t>Coefficient = (0,3246 / 0,6) x ((1,6 x (1589,47 € / 1440 €)) -1) = 0,4144 -&gt; 0,3246</t>
  </si>
  <si>
    <t>Montant AG avec DFS = 1440 € x 0,3246 = 467,42 €</t>
  </si>
  <si>
    <t>Coefficient = (0,3246 / 0,6) x ((1,6 x (1589,47 € / 1600 €)) -1) = 0,3189</t>
  </si>
  <si>
    <t>Montant AG sans DFS = 1600 € x 0,3189 = 510,24 €</t>
  </si>
  <si>
    <t>Plafond = 510,24 € x 1,3 = 663,31 €</t>
  </si>
  <si>
    <t>Montant AG avec DFS (467,42 €) &lt; plafond (663,31 €)</t>
  </si>
  <si>
    <t>Montant AG du mois janvier = 467,42 €</t>
  </si>
  <si>
    <t>Montant Urssaf/AC = 467,42 x (0,2645 / 0,3246) = 380,88 €</t>
  </si>
  <si>
    <t>Montant Agirc-Arrco = 467,42 x (0,0601 / 0,3246) = 86,54 €</t>
  </si>
  <si>
    <t>Mois de janvier 2021, salaire de 2000 € et une DFS de 20%</t>
  </si>
  <si>
    <t>Montant AG avec DFS = 1600 € x 0,3189 = 510,24 €</t>
  </si>
  <si>
    <t>Coefficient = (0,3246 / 0,6) x ((1,6 x (1589,47 € / 2000 €)) -1) = 0,1469</t>
  </si>
  <si>
    <t>Montant AG sans DFS = 2000 € x 0,1469 = 293,80 €</t>
  </si>
  <si>
    <t>Plafond = 293,80 € x 1,30 = 381,94 €</t>
  </si>
  <si>
    <t>Montant AG avec DFS (510,24 €) &gt; plafond (381,94 €)</t>
  </si>
  <si>
    <t>Montant AG du mois de janvier = 381,94 € (soit une diminution du montant de 128,30 €)</t>
  </si>
  <si>
    <t>Montant Urssaf/AC = 381,94 € x (0,2645 / 0,3246) = 311,22 €</t>
  </si>
  <si>
    <t>Montant Agirc-Arrco = 381,94 € x (0,0601 / 0,3246) = 70,72 €</t>
  </si>
  <si>
    <t>Mois de février 2021, salaire de 2200 € et une DFS de 20%</t>
  </si>
  <si>
    <t>Coefficient = (0,3246 / 0,6) x ((1,6 x (3178,94 € / 3360 €)) -1) = 0,278</t>
  </si>
  <si>
    <t>Montant AG avec DFS = 3360 € x 0,2780 = 934,08 €</t>
  </si>
  <si>
    <t>Coefficient = (0,3246 / 0,6) x ((1,6 x 3178,94 € / 4200 €)) -1) = 0,1142</t>
  </si>
  <si>
    <t>Montant AG sans DFS = 4200 € x 0,1142 = 479,64 €</t>
  </si>
  <si>
    <t>Plafond = 479,64 € x 1,30 = 623,53 €</t>
  </si>
  <si>
    <t>Montant AG avec DFS (934,08 €) &gt; plafond (623,53 €)</t>
  </si>
  <si>
    <t>Montant AG du mois de février = 623,53 € - 381,94 € = 241,59 €</t>
  </si>
  <si>
    <t>Montant Urssaf/AC = 241,59 € x (0,2645 / 0,3246) = 196,86 €</t>
  </si>
  <si>
    <t>Montant Agirc-Arrco = 241,59 € x (0,0601 / 0,3246) = 44,73 €</t>
  </si>
  <si>
    <t>Salaire 01/2021</t>
  </si>
  <si>
    <t>La clé de répartition pour déterminer la part du montant de l’allègement pour l’AGIRC-ARRCO et la part</t>
  </si>
  <si>
    <t>du montant de l’allègement pour l’URSSAF/AC (la MSA et la CGSS) est la suivante :</t>
  </si>
  <si>
    <r>
      <t xml:space="preserve">• </t>
    </r>
    <r>
      <rPr>
        <sz val="10"/>
        <color rgb="FF000000"/>
        <rFont val="ArialMT"/>
      </rPr>
      <t>Montant pour la part URSSAF(AC) = Montant allègement général global * (Taux URSSAF et AC / T)</t>
    </r>
  </si>
  <si>
    <r>
      <t xml:space="preserve">• </t>
    </r>
    <r>
      <rPr>
        <sz val="10"/>
        <color rgb="FF000000"/>
        <rFont val="ArialMT"/>
      </rPr>
      <t>Montant pour la part AGIRC-ARRCO = Montant allègement général global * (Taux AA / T)</t>
    </r>
  </si>
  <si>
    <t>Les ajustements du SMIC mensuel</t>
  </si>
  <si>
    <t>Extrait de la circulaire :</t>
  </si>
  <si>
    <t>« Pour les salariés dont le contrat de travail est suspendu sans paiement de la rémunération ou avec</t>
  </si>
  <si>
    <t>paiement partiel, le SMIC mensuel est corrigé selon le rapport entre le salaire versé ledit mois au salarié</t>
  </si>
  <si>
    <t>et celui qui aurait été versé si le salarié n’avait pas été absent après déduction, pour la détermination de</t>
  </si>
  <si>
    <t>ces deux salaires, des éléments de rémunération dont le montant n’est pas proratisé pour tenir compte</t>
  </si>
  <si>
    <t>de l’absence.</t>
  </si>
  <si>
    <t>A titre d’exemple, une prime versée un mois où le salarié a été absent et dont le montant n’est pas réduit</t>
  </si>
  <si>
    <t>pour tenir compte de cette absence est exclue des rémunérations comparées.</t>
  </si>
  <si>
    <t>Ne sont donc pris en compte, dans la comparaison entre salaire versé et celui qui aurait été versé si le</t>
  </si>
  <si>
    <t>salarié n’avait pas été absent, que les éléments pris en compte pour le calcul de la retenue sur salaire</t>
  </si>
  <si>
    <t>liée à cette absence. »</t>
  </si>
  <si>
    <r>
      <t xml:space="preserve">Salaire </t>
    </r>
    <r>
      <rPr>
        <b/>
        <sz val="7"/>
        <color rgb="FFCC9000"/>
        <rFont val="Arial-BoldMT"/>
      </rPr>
      <t xml:space="preserve">(1) </t>
    </r>
    <r>
      <rPr>
        <sz val="10"/>
        <color rgb="FF000000"/>
        <rFont val="ArialMT"/>
      </rPr>
      <t>– Montant des absences – Montant des IJ + Montant des maintiens</t>
    </r>
  </si>
  <si>
    <t>Taux de proratisation = _______________________________________________________________</t>
  </si>
  <si>
    <r>
      <t xml:space="preserve">Salaire </t>
    </r>
    <r>
      <rPr>
        <b/>
        <sz val="7"/>
        <color rgb="FFCC9000"/>
        <rFont val="Arial-BoldMT"/>
      </rPr>
      <t>(1)</t>
    </r>
  </si>
  <si>
    <r>
      <t xml:space="preserve">(1) </t>
    </r>
    <r>
      <rPr>
        <sz val="10"/>
        <color rgb="FF000000"/>
        <rFont val="ArialMT"/>
      </rPr>
      <t>Le salaire à prendre en compte est celui servant de base au calcul de la retenue sur salaire pour les absences.</t>
    </r>
  </si>
  <si>
    <t>Exemple 2021 :</t>
  </si>
  <si>
    <t xml:space="preserve">Salaire mensuel (pour 151,67 heures) </t>
  </si>
  <si>
    <t xml:space="preserve">Salaire Brut ‘Habituel’ </t>
  </si>
  <si>
    <t xml:space="preserve">Absence non rémunérée 7h x 11 € </t>
  </si>
  <si>
    <t xml:space="preserve">Salaire ‘Maintenu’ </t>
  </si>
  <si>
    <t xml:space="preserve">Prime exceptionnelle </t>
  </si>
  <si>
    <t xml:space="preserve">Salaire Brut soumis à cotisations </t>
  </si>
  <si>
    <t>Dans cet exemple, le salaire à prendre en compte pour le calcul de la proratisation du SMIC doit être le</t>
  </si>
  <si>
    <t>même que celui appliqué pour la retenue pour absence, à savoir 1688,37, c'est-à-dire le salaire mensuel</t>
  </si>
  <si>
    <t>Le SMIC à prendre en compte dans le calcul du coefficient, sera donc égale au 1er octobre 2021 à :</t>
  </si>
  <si>
    <t>(151,67 heures * 10,48 €) * (1611,37 € / 1688,37 €) = 1517,01 €</t>
  </si>
  <si>
    <t>SMIC à prendre en compte dans le calcul du coefficient</t>
  </si>
  <si>
    <r>
      <t>Depuis le 1</t>
    </r>
    <r>
      <rPr>
        <sz val="7"/>
        <color rgb="FF000000"/>
        <rFont val="ArialMT"/>
      </rPr>
      <t xml:space="preserve">er </t>
    </r>
    <r>
      <rPr>
        <sz val="10"/>
        <color rgb="FF000000"/>
        <rFont val="ArialMT"/>
      </rPr>
      <t>janvier 2012, la rémunération afférente aux heures supplémentaires et aux heures</t>
    </r>
  </si>
  <si>
    <t>complémentaires doit être réintégrée dans le calcul du coefficient</t>
  </si>
  <si>
    <t>En contrepartie, le nombre d’heures supplémentaires et complémentaires devront être pris en compte</t>
  </si>
  <si>
    <t>dans la détermination du SMIC mensuel pour le calcul du coefficient</t>
  </si>
  <si>
    <t>Exemple pour un salarié à temps complet :</t>
  </si>
  <si>
    <r>
      <t>Au 1</t>
    </r>
    <r>
      <rPr>
        <b/>
        <sz val="6"/>
        <color rgb="FF595959"/>
        <rFont val="Arial-BoldMT"/>
      </rPr>
      <t xml:space="preserve">er </t>
    </r>
    <r>
      <rPr>
        <b/>
        <sz val="9"/>
        <color rgb="FF595959"/>
        <rFont val="Arial-BoldMT"/>
      </rPr>
      <t>janvier 2021 pour une société de 50 salariés et plus cotisant au FNAL à 0,50%</t>
    </r>
  </si>
  <si>
    <t>Autres cas d’ajustement du SMIC</t>
  </si>
  <si>
    <t xml:space="preserve">Salaire (151h67 x 11 €) </t>
  </si>
  <si>
    <t xml:space="preserve">Heures supplémentaires (8h x 11 € x 125%) </t>
  </si>
  <si>
    <t xml:space="preserve">Total brut </t>
  </si>
  <si>
    <t>Calcul du SMIC = (151,67 heures * 10,48 €) + (8h * 10,48 €)</t>
  </si>
  <si>
    <t>Rémunération = 1778,37 €</t>
  </si>
  <si>
    <t>Coefficient = 0,3246 / 0,6 * (1,6 * 1673,34 / 1778,37 -1) = 0,2735</t>
  </si>
  <si>
    <r>
      <t xml:space="preserve">Montant réduction = 1778,37 * 0,2735 = </t>
    </r>
    <r>
      <rPr>
        <b/>
        <sz val="9"/>
        <color rgb="FF595959"/>
        <rFont val="Arial-BoldMT"/>
      </rPr>
      <t>486,38</t>
    </r>
  </si>
  <si>
    <r>
      <t xml:space="preserve">Répartition URSSAF/AC </t>
    </r>
    <r>
      <rPr>
        <sz val="9"/>
        <color rgb="FF595959"/>
        <rFont val="ArialMT"/>
      </rPr>
      <t xml:space="preserve">: </t>
    </r>
    <r>
      <rPr>
        <b/>
        <sz val="9"/>
        <color rgb="FF595959"/>
        <rFont val="Arial-BoldMT"/>
      </rPr>
      <t xml:space="preserve">486,38 </t>
    </r>
    <r>
      <rPr>
        <sz val="9"/>
        <color rgb="FF595959"/>
        <rFont val="ArialMT"/>
      </rPr>
      <t>* (0,2645 / 0,3246) = 396,33</t>
    </r>
  </si>
  <si>
    <r>
      <t xml:space="preserve">Répartition AGIRC-ARRCO </t>
    </r>
    <r>
      <rPr>
        <sz val="9"/>
        <color rgb="FF595959"/>
        <rFont val="ArialMT"/>
      </rPr>
      <t xml:space="preserve">: </t>
    </r>
    <r>
      <rPr>
        <b/>
        <sz val="9"/>
        <color rgb="FF595959"/>
        <rFont val="Arial-BoldMT"/>
      </rPr>
      <t xml:space="preserve">486,38 </t>
    </r>
    <r>
      <rPr>
        <sz val="9"/>
        <color rgb="FF595959"/>
        <rFont val="ArialMT"/>
      </rPr>
      <t>* (0,0601 / 0,3246) = 90,05</t>
    </r>
  </si>
  <si>
    <t xml:space="preserve">Cas </t>
  </si>
  <si>
    <t>Coefficient de proratisation</t>
  </si>
  <si>
    <t xml:space="preserve">Salarié en forfait jours </t>
  </si>
  <si>
    <t xml:space="preserve">Salarié en forfait heures </t>
  </si>
  <si>
    <t xml:space="preserve">Salarié horaire </t>
  </si>
  <si>
    <t xml:space="preserve">Nombre de jours prévus au forfait/218 jours
</t>
  </si>
  <si>
    <t>Nombre d’heures prévues au forfait/1607 heures</t>
  </si>
  <si>
    <t>Horaire prévu au contrat/151h67</t>
  </si>
  <si>
    <t>Affichage sur le bulletin clarifié</t>
  </si>
  <si>
    <t>Le montant d’allègement général (URSSAF/AC et AGIRC-ARRCO) est à afficher :</t>
  </si>
  <si>
    <r>
      <t xml:space="preserve">• </t>
    </r>
    <r>
      <rPr>
        <sz val="10"/>
        <color rgb="FF000000"/>
        <rFont val="ArialMT"/>
      </rPr>
      <t>Sur la ligne « Exonérations de cotisations employeur »</t>
    </r>
  </si>
  <si>
    <r>
      <t xml:space="preserve">• </t>
    </r>
    <r>
      <rPr>
        <sz val="10"/>
        <color rgb="FF000000"/>
        <rFont val="ArialMT"/>
      </rPr>
      <t>Dans la rubrique « Allègement de cotisations employeur »</t>
    </r>
  </si>
  <si>
    <t>Les modalités de régularisation</t>
  </si>
  <si>
    <r>
      <t>Depuis le 1</t>
    </r>
    <r>
      <rPr>
        <sz val="7"/>
        <color rgb="FF000000"/>
        <rFont val="ArialMT"/>
      </rPr>
      <t xml:space="preserve">er </t>
    </r>
    <r>
      <rPr>
        <sz val="10"/>
        <color rgb="FF000000"/>
        <rFont val="ArialMT"/>
      </rPr>
      <t>janvier 2017, la régularisation progressive devient obligatoire</t>
    </r>
  </si>
  <si>
    <t>Les remarques</t>
  </si>
  <si>
    <r>
      <t xml:space="preserve">• </t>
    </r>
    <r>
      <rPr>
        <sz val="10"/>
        <color rgb="FF000000"/>
        <rFont val="ArialMT"/>
      </rPr>
      <t>Le coefficient obtenu est arrondi à 4 décimales, au dix millième le plus proche</t>
    </r>
  </si>
  <si>
    <r>
      <t xml:space="preserve">• </t>
    </r>
    <r>
      <rPr>
        <sz val="10"/>
        <color rgb="FF000000"/>
        <rFont val="ArialMT"/>
      </rPr>
      <t>Si le coefficient obtenu est supérieur à celui fixé par décret selon le taux de la cotisation FNAL, il est</t>
    </r>
  </si>
  <si>
    <t>pris en compte pour une valeur égale au coefficient fixé dans le décret</t>
  </si>
  <si>
    <r>
      <t xml:space="preserve">• </t>
    </r>
    <r>
      <rPr>
        <sz val="10"/>
        <color rgb="FF000000"/>
        <rFont val="ArialMT"/>
      </rPr>
      <t>Dans le cas où au cours d’une année, un salarié fait l’objet d’une nouvelle embauche en CDI après</t>
    </r>
  </si>
  <si>
    <t>rupture d’un premier CDI avec son employeur, la réduction se calcule contrat par contrat</t>
  </si>
  <si>
    <r>
      <t xml:space="preserve">• </t>
    </r>
    <r>
      <rPr>
        <sz val="10"/>
        <color rgb="FF000000"/>
        <rFont val="ArialMT"/>
      </rPr>
      <t>Pour les CDD, la réduction se calcule contrat par contrat</t>
    </r>
  </si>
  <si>
    <r>
      <t xml:space="preserve">• </t>
    </r>
    <r>
      <rPr>
        <sz val="10"/>
        <color rgb="FF000000"/>
        <rFont val="ArialMT"/>
      </rPr>
      <t>L’obligation pour l’employeur d’établir par établissement et par mois civil un document justificatif du</t>
    </r>
  </si>
  <si>
    <t>montant des réductions appliquées est supprimée. Néanmoins, les employeurs devront être en</t>
  </si>
  <si>
    <t>mesure, dans l’éventualité d’un contrôle, de mettre à disposition des inspecteurs du recouvrement</t>
  </si>
  <si>
    <t>toutes les informations utiles à cette vérification</t>
  </si>
  <si>
    <r>
      <t xml:space="preserve">• </t>
    </r>
    <r>
      <rPr>
        <sz val="10"/>
        <color rgb="FF000000"/>
        <rFont val="ArialMT"/>
      </rPr>
      <t>Lorsque le salarié a bénéficié sur une partie de l’année d’une autre mesure d’exonération non</t>
    </r>
  </si>
  <si>
    <t>cumulable avec l’allègement général de cotisations patronale (par exemple il était éligible à une</t>
  </si>
  <si>
    <t>exonération ciblée de type ZFU), ce dernier n’est calculé que pour la période de l’année pendant</t>
  </si>
  <si>
    <t>laquelle l’employeur peut effectivement en bénéficier</t>
  </si>
  <si>
    <t>Les règles de cumul</t>
  </si>
  <si>
    <t>L’allègement n’est cumulable avec aucun autre dispositif d’exonération totale ou partielle de cotisations</t>
  </si>
  <si>
    <t>patronales ou de taux spécifiques ou de montants forfaitaires de cotisations. Toutefois, il est cumulable</t>
  </si>
  <si>
    <t>avec :</t>
  </si>
  <si>
    <r>
      <t xml:space="preserve">• </t>
    </r>
    <r>
      <rPr>
        <sz val="10"/>
        <color rgb="FF000000"/>
        <rFont val="ArialMT"/>
      </rPr>
      <t>La réduction forfaitaire de cotisations sociales patronales de l’obligation de nourriture dans les</t>
    </r>
  </si>
  <si>
    <t>professions appliquant le SMIC hôtelier</t>
  </si>
  <si>
    <r>
      <t xml:space="preserve">• </t>
    </r>
    <r>
      <rPr>
        <sz val="10"/>
        <color rgb="FF000000"/>
        <rFont val="ArialMT"/>
      </rPr>
      <t>La déduction forfaitaire patronale dans le cadre de l’exonération des heures supplémentaires</t>
    </r>
  </si>
  <si>
    <r>
      <t xml:space="preserve">• </t>
    </r>
    <r>
      <rPr>
        <sz val="10"/>
        <color rgb="FF000000"/>
        <rFont val="ArialMT"/>
      </rPr>
      <t>Le cumul de l’allègement général de cotisations patronales avec la déduction forfaitaire</t>
    </r>
  </si>
  <si>
    <t>patronale est possible mais dans la limite des cotisations de sécurité sociale. Si cumul, la</t>
  </si>
  <si>
    <t>déduction forfaitaire patronale doit intervenir après le calcul de l’allègement général de</t>
  </si>
  <si>
    <t>cotisations patronales</t>
  </si>
  <si>
    <t>Le coefficient obtenu est arrondi à 3 décimales, au millième le plus proche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</si>
</sst>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64" formatCode="#,##0\ &quot;€&quot;;[Red]\-#,##0\ &quot;€&quot;"/>
    <numFmt numFmtId="165" formatCode="_-* #,##0.00\ _€_-;\-* #,##0.00\ _€_-;_-* &quot;-&quot;??\ _€_-;_-@_-"/>
    <numFmt numFmtId="166" formatCode="0.00000"/>
    <numFmt numFmtId="167" formatCode="0.000"/>
    <numFmt numFmtId="168" formatCode="0.0000"/>
    <numFmt numFmtId="169" formatCode="0.0%"/>
    <numFmt numFmtId="170" formatCode="0.000%"/>
    <numFmt numFmtId="171" formatCode="_-* #,##0.0000\ _€_-;\-* #,##0.0000\ _€_-;_-* &quot;-&quot;??\ _€_-;_-@_-"/>
    <numFmt numFmtId="172" formatCode="_-* #,##0.00\ _D_H_-;\-* #,##0.00\ _D_H_-;_-* &quot;-&quot;??\ _D_H_-;_-@_-"/>
    <numFmt numFmtId="173" formatCode="#,##0.00\ [$€-1];[Red]\-#,##0.00\ [$€-1]"/>
    <numFmt numFmtId="174" formatCode="_-* #,##0.000\ _€_-;\-* #,##0.000\ _€_-;_-* &quot;-&quot;??\ _€_-;_-@_-"/>
    <numFmt numFmtId="175" formatCode="_-* #,##0.0000\ _D_H_-;\-* #,##0.0000\ _D_H_-;_-* &quot;-&quot;??\ _D_H_-;_-@_-"/>
  </numFmts>
  <fonts count="145">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10"/>
      <color rgb="FF000000"/>
      <name val="Arial"/>
      <family val="2"/>
    </font>
    <font>
      <b/>
      <sz val="13.5"/>
      <color rgb="FF000000"/>
      <name val="Arial"/>
      <family val="2"/>
    </font>
    <font>
      <b/>
      <sz val="10"/>
      <color rgb="FF000000"/>
      <name val="Arial"/>
      <family val="2"/>
    </font>
    <font>
      <b/>
      <sz val="12"/>
      <color rgb="FF000000"/>
      <name val="Arial"/>
      <family val="2"/>
    </font>
    <font>
      <u/>
      <sz val="11"/>
      <color theme="10"/>
      <name val="Calibri"/>
      <family val="2"/>
      <scheme val="minor"/>
    </font>
    <font>
      <sz val="12"/>
      <color rgb="FF000000"/>
      <name val="Arial"/>
      <family val="2"/>
    </font>
    <font>
      <sz val="10"/>
      <color rgb="FF30353A"/>
      <name val="Arial"/>
      <family val="2"/>
    </font>
    <font>
      <b/>
      <i/>
      <sz val="8"/>
      <name val="Arial"/>
      <family val="2"/>
    </font>
    <font>
      <sz val="8"/>
      <name val="Arial MT"/>
    </font>
    <font>
      <sz val="8"/>
      <name val="Arial MT"/>
      <family val="2"/>
    </font>
    <font>
      <sz val="8"/>
      <color rgb="FF000000"/>
      <name val="Arial MT"/>
      <family val="2"/>
    </font>
    <font>
      <i/>
      <sz val="8"/>
      <name val="Arial"/>
      <family val="2"/>
    </font>
    <font>
      <i/>
      <sz val="8"/>
      <color rgb="FF000000"/>
      <name val="Arial"/>
      <family val="2"/>
    </font>
    <font>
      <b/>
      <sz val="11"/>
      <name val="Arial"/>
      <family val="2"/>
    </font>
    <font>
      <b/>
      <sz val="8"/>
      <name val="Arial"/>
      <family val="2"/>
    </font>
    <font>
      <b/>
      <sz val="8"/>
      <color rgb="FF000000"/>
      <name val="Arial"/>
      <family val="2"/>
    </font>
    <font>
      <sz val="5"/>
      <name val="Lucida Sans Unicode"/>
      <family val="2"/>
    </font>
    <font>
      <b/>
      <sz val="24"/>
      <color rgb="FF282828"/>
      <name val="Maison Neue Book"/>
    </font>
    <font>
      <sz val="8"/>
      <color rgb="FF212529"/>
      <name val="Maison Neue Book"/>
    </font>
    <font>
      <b/>
      <sz val="8"/>
      <color rgb="FF212529"/>
      <name val="Maison Neue Book"/>
    </font>
    <font>
      <sz val="11"/>
      <color theme="1"/>
      <name val="Maison Neue Book"/>
    </font>
    <font>
      <b/>
      <sz val="11"/>
      <color theme="1"/>
      <name val="Maison Neue Book"/>
    </font>
    <font>
      <b/>
      <i/>
      <sz val="11"/>
      <color theme="1"/>
      <name val="Maison Neue Book"/>
    </font>
    <font>
      <sz val="6"/>
      <color theme="1"/>
      <name val="Maison Neue Book"/>
    </font>
    <font>
      <sz val="8"/>
      <color theme="1"/>
      <name val="Maison Neue Book"/>
    </font>
    <font>
      <sz val="10"/>
      <color theme="1"/>
      <name val="Arial"/>
      <family val="2"/>
    </font>
    <font>
      <b/>
      <sz val="13.5"/>
      <color theme="1"/>
      <name val="Arial"/>
      <family val="2"/>
    </font>
    <font>
      <b/>
      <sz val="10"/>
      <color theme="1"/>
      <name val="Arial"/>
      <family val="2"/>
    </font>
    <font>
      <i/>
      <sz val="10"/>
      <color theme="1"/>
      <name val="Arial"/>
      <family val="2"/>
    </font>
    <font>
      <sz val="11"/>
      <color rgb="FFFF0000"/>
      <name val="Maison Neue Book"/>
    </font>
    <font>
      <b/>
      <u/>
      <sz val="11"/>
      <color theme="1"/>
      <name val="Calibri"/>
      <family val="2"/>
      <scheme val="minor"/>
    </font>
    <font>
      <b/>
      <u/>
      <sz val="10"/>
      <color rgb="FF000000"/>
      <name val="Arial"/>
      <family val="2"/>
    </font>
    <font>
      <sz val="8"/>
      <color rgb="FFFF0000"/>
      <name val="Arial MT"/>
      <family val="2"/>
    </font>
    <font>
      <b/>
      <sz val="11"/>
      <color rgb="FF00B050"/>
      <name val="Calibri"/>
      <family val="2"/>
      <scheme val="minor"/>
    </font>
    <font>
      <b/>
      <i/>
      <sz val="16"/>
      <color rgb="FF000000"/>
      <name val="TimesNewRomanPS-BoldItalicMT"/>
    </font>
    <font>
      <b/>
      <i/>
      <sz val="13"/>
      <color rgb="FF000000"/>
      <name val="TimesNewRomanPS-BoldItalicMT"/>
    </font>
    <font>
      <i/>
      <sz val="10"/>
      <color rgb="FF000000"/>
      <name val="TimesNewRomanPS-ItalicMT"/>
    </font>
    <font>
      <i/>
      <sz val="7"/>
      <color rgb="FF000000"/>
      <name val="TimesNewRomanPS-ItalicMT"/>
    </font>
    <font>
      <sz val="10"/>
      <color rgb="FF000000"/>
      <name val="TimesNewRomanPSMT"/>
    </font>
    <font>
      <sz val="7"/>
      <color rgb="FF000000"/>
      <name val="TimesNewRomanPSMT"/>
    </font>
    <font>
      <b/>
      <i/>
      <sz val="14"/>
      <color rgb="FF000000"/>
      <name val="TimesNewRomanPS-BoldItalicMT"/>
    </font>
    <font>
      <sz val="18"/>
      <color rgb="FF000000"/>
      <name val="TT281o00"/>
    </font>
    <font>
      <b/>
      <i/>
      <sz val="12"/>
      <color rgb="FF000000"/>
      <name val="TimesNewRomanPS-BoldItalicMT"/>
    </font>
    <font>
      <sz val="10"/>
      <color rgb="FF000000"/>
      <name val="Symbol"/>
      <family val="1"/>
      <charset val="2"/>
    </font>
    <font>
      <sz val="8"/>
      <color rgb="FF000000"/>
      <name val="TT288o00"/>
    </font>
    <font>
      <b/>
      <sz val="10"/>
      <color rgb="FF000000"/>
      <name val="TimesNewRomanPS-BoldMT"/>
    </font>
    <font>
      <sz val="8"/>
      <color rgb="FF404040"/>
      <name val="Verdana"/>
      <family val="2"/>
    </font>
    <font>
      <b/>
      <i/>
      <u/>
      <sz val="14"/>
      <color rgb="FF000000"/>
      <name val="TimesNewRomanPS-BoldItalicMT"/>
    </font>
    <font>
      <b/>
      <i/>
      <sz val="9"/>
      <color rgb="FF000000"/>
      <name val="TimesNewRomanPS-BoldItalicMT"/>
    </font>
    <font>
      <b/>
      <sz val="8"/>
      <color rgb="FF000000"/>
      <name val="Arial MT"/>
    </font>
    <font>
      <b/>
      <sz val="10"/>
      <name val="Arial"/>
      <family val="2"/>
    </font>
    <font>
      <b/>
      <sz val="11"/>
      <color rgb="FFFF0000"/>
      <name val="Maison Neue Book"/>
    </font>
    <font>
      <b/>
      <sz val="14"/>
      <name val="Arial"/>
      <family val="2"/>
    </font>
    <font>
      <sz val="10"/>
      <name val="Arial"/>
      <family val="2"/>
    </font>
    <font>
      <b/>
      <sz val="11"/>
      <color rgb="FF000000"/>
      <name val="Arial"/>
      <family val="2"/>
    </font>
    <font>
      <sz val="10"/>
      <color rgb="FFCC0000"/>
      <name val="Arial"/>
      <family val="2"/>
    </font>
    <font>
      <b/>
      <sz val="11"/>
      <color rgb="FFFF0000"/>
      <name val="Arial"/>
      <family val="2"/>
    </font>
    <font>
      <sz val="8"/>
      <color rgb="FF000000"/>
      <name val="Arial"/>
      <family val="2"/>
    </font>
    <font>
      <sz val="8"/>
      <color rgb="FFFF0000"/>
      <name val="Arial"/>
      <family val="2"/>
    </font>
    <font>
      <b/>
      <sz val="11"/>
      <name val="Calibri"/>
      <family val="2"/>
      <scheme val="minor"/>
    </font>
    <font>
      <b/>
      <u/>
      <sz val="8"/>
      <color rgb="FF000000"/>
      <name val="Arial"/>
      <family val="2"/>
    </font>
    <font>
      <sz val="8"/>
      <color theme="1"/>
      <name val="Arial"/>
      <family val="2"/>
    </font>
    <font>
      <b/>
      <sz val="8"/>
      <color theme="1"/>
      <name val="Arial"/>
      <family val="2"/>
    </font>
    <font>
      <sz val="11"/>
      <name val="Maison Neue Book"/>
    </font>
    <font>
      <sz val="11"/>
      <color rgb="FFFFFFFF"/>
      <name val="Arial"/>
      <family val="2"/>
    </font>
    <font>
      <sz val="11"/>
      <color rgb="FF000000"/>
      <name val="Arial"/>
      <family val="2"/>
    </font>
    <font>
      <sz val="9"/>
      <color theme="1"/>
      <name val="Georgia"/>
      <family val="1"/>
    </font>
    <font>
      <b/>
      <sz val="9"/>
      <color theme="1"/>
      <name val="Georgia"/>
      <family val="1"/>
    </font>
    <font>
      <sz val="8"/>
      <color theme="1"/>
      <name val="Georgia"/>
      <family val="1"/>
    </font>
    <font>
      <sz val="8"/>
      <color rgb="FF000000"/>
      <name val="Arial"/>
      <family val="2"/>
    </font>
    <font>
      <sz val="8"/>
      <color theme="1"/>
      <name val="Calibri"/>
      <family val="2"/>
      <scheme val="minor"/>
    </font>
    <font>
      <sz val="14"/>
      <color rgb="FF1D1D1B"/>
      <name val="Arial"/>
      <family val="2"/>
    </font>
    <font>
      <sz val="8"/>
      <color rgb="FF1D1D1B"/>
      <name val="Arial"/>
      <family val="2"/>
    </font>
    <font>
      <b/>
      <sz val="8"/>
      <color rgb="FF1D1D1B"/>
      <name val="Arial"/>
      <family val="2"/>
    </font>
    <font>
      <b/>
      <sz val="6"/>
      <color rgb="FF1D1D1B"/>
      <name val="Arial"/>
      <family val="2"/>
    </font>
    <font>
      <b/>
      <u/>
      <sz val="8"/>
      <color rgb="FF006E49"/>
      <name val="Arial"/>
      <family val="2"/>
    </font>
    <font>
      <b/>
      <sz val="11"/>
      <color rgb="FFFF0000"/>
      <name val="Calibri"/>
      <family val="2"/>
      <scheme val="minor"/>
    </font>
    <font>
      <sz val="9"/>
      <color rgb="FF444444"/>
      <name val="Tahoma"/>
      <family val="2"/>
    </font>
    <font>
      <b/>
      <i/>
      <u/>
      <sz val="8"/>
      <color rgb="FF000000"/>
      <name val="Arial"/>
      <family val="2"/>
    </font>
    <font>
      <sz val="8"/>
      <color rgb="FFFF0000"/>
      <name val="Arial MT"/>
    </font>
    <font>
      <i/>
      <sz val="8"/>
      <color rgb="FFFF0000"/>
      <name val="Arial"/>
      <family val="2"/>
    </font>
    <font>
      <b/>
      <sz val="16"/>
      <color theme="1"/>
      <name val="Arial"/>
      <family val="2"/>
    </font>
    <font>
      <b/>
      <sz val="12"/>
      <color rgb="FF271A38"/>
      <name val="Arial"/>
      <family val="2"/>
    </font>
    <font>
      <b/>
      <sz val="13.5"/>
      <color rgb="FF271A38"/>
      <name val="Arial"/>
      <family val="2"/>
    </font>
    <font>
      <b/>
      <sz val="10"/>
      <color rgb="FF271A38"/>
      <name val="Arial"/>
      <family val="2"/>
    </font>
    <font>
      <sz val="8"/>
      <color rgb="FF271A38"/>
      <name val="Arial"/>
      <family val="2"/>
    </font>
    <font>
      <b/>
      <sz val="8"/>
      <color rgb="FF271A38"/>
      <name val="Arial"/>
      <family val="2"/>
    </font>
    <font>
      <b/>
      <sz val="24"/>
      <color theme="1"/>
      <name val="Times New Roman"/>
      <family val="1"/>
    </font>
    <font>
      <b/>
      <sz val="18"/>
      <color theme="1"/>
      <name val="Times New Roman"/>
      <family val="1"/>
    </font>
    <font>
      <b/>
      <sz val="11"/>
      <color theme="1"/>
      <name val="Courier New"/>
      <family val="3"/>
    </font>
    <font>
      <b/>
      <sz val="13.5"/>
      <color theme="1"/>
      <name val="Times New Roman"/>
      <family val="1"/>
    </font>
    <font>
      <sz val="9"/>
      <color rgb="FF333333"/>
      <name val="Arial"/>
      <family val="2"/>
    </font>
    <font>
      <b/>
      <u val="singleAccounting"/>
      <sz val="11"/>
      <color theme="1"/>
      <name val="Calibri"/>
      <family val="2"/>
      <scheme val="minor"/>
    </font>
    <font>
      <sz val="11"/>
      <color rgb="FF000000"/>
      <name val="ArialMT"/>
    </font>
    <font>
      <sz val="14"/>
      <color rgb="FF000000"/>
      <name val="ArialMT"/>
    </font>
    <font>
      <b/>
      <sz val="11"/>
      <color rgb="FF000000"/>
      <name val="Arial-BoldMT"/>
    </font>
    <font>
      <b/>
      <sz val="16"/>
      <color rgb="FF1A428A"/>
      <name val="Arial"/>
      <family val="2"/>
    </font>
    <font>
      <sz val="8"/>
      <color rgb="FF333333"/>
      <name val="Arial"/>
      <family val="2"/>
    </font>
    <font>
      <b/>
      <sz val="8"/>
      <color rgb="FF333333"/>
      <name val="Arial"/>
      <family val="2"/>
    </font>
    <font>
      <b/>
      <i/>
      <sz val="8"/>
      <color rgb="FF333333"/>
      <name val="Arial"/>
      <family val="2"/>
    </font>
    <font>
      <sz val="11"/>
      <color theme="0"/>
      <name val="Calibri"/>
      <family val="2"/>
      <scheme val="minor"/>
    </font>
    <font>
      <sz val="11"/>
      <color rgb="FF000000"/>
      <name val="SymbolMT"/>
    </font>
    <font>
      <sz val="10"/>
      <color rgb="FF000000"/>
      <name val="ArialMT"/>
    </font>
    <font>
      <sz val="7"/>
      <color rgb="FF000000"/>
      <name val="ArialMT"/>
    </font>
    <font>
      <sz val="10"/>
      <color rgb="FF000000"/>
      <name val="SymbolMT"/>
    </font>
    <font>
      <sz val="10"/>
      <color rgb="FFCC9000"/>
      <name val="SymbolMT"/>
    </font>
    <font>
      <sz val="10"/>
      <color rgb="FFCC9000"/>
      <name val="ArialMT"/>
    </font>
    <font>
      <sz val="10"/>
      <name val="SymbolMT"/>
    </font>
    <font>
      <sz val="10"/>
      <name val="ArialMT"/>
    </font>
    <font>
      <b/>
      <sz val="12"/>
      <color rgb="FF0073C1"/>
      <name val="Arial-BoldMT"/>
    </font>
    <font>
      <b/>
      <sz val="9"/>
      <color rgb="FF595959"/>
      <name val="Arial-BoldMT"/>
    </font>
    <font>
      <sz val="9"/>
      <color rgb="FF595959"/>
      <name val="ArialMT"/>
    </font>
    <font>
      <sz val="6"/>
      <color rgb="FF595959"/>
      <name val="ArialMT"/>
    </font>
    <font>
      <sz val="9"/>
      <color rgb="FF595959"/>
      <name val="Wingdings-Regular"/>
    </font>
    <font>
      <b/>
      <sz val="11"/>
      <color rgb="FF92D050"/>
      <name val="Calibri"/>
      <family val="2"/>
      <scheme val="minor"/>
    </font>
    <font>
      <b/>
      <sz val="14"/>
      <color rgb="FF202124"/>
      <name val="Arial"/>
      <family val="2"/>
    </font>
    <font>
      <i/>
      <sz val="11"/>
      <color theme="1"/>
      <name val="Calibri"/>
      <family val="2"/>
      <scheme val="minor"/>
    </font>
    <font>
      <sz val="8"/>
      <color rgb="FF000000"/>
      <name val="ArialMT"/>
    </font>
    <font>
      <sz val="9"/>
      <color rgb="FF595959"/>
      <name val="SymbolMT"/>
    </font>
    <font>
      <b/>
      <sz val="9"/>
      <color rgb="FF595959"/>
      <name val="ArialMT"/>
    </font>
    <font>
      <sz val="16"/>
      <color rgb="FF0073C1"/>
      <name val="ArialMT"/>
    </font>
    <font>
      <b/>
      <sz val="10"/>
      <color rgb="FF000000"/>
      <name val="Arial-BoldMT"/>
    </font>
    <font>
      <i/>
      <sz val="10"/>
      <color rgb="FF000000"/>
      <name val="Arial-ItalicMT"/>
    </font>
    <font>
      <b/>
      <i/>
      <sz val="10"/>
      <color rgb="FF000000"/>
      <name val="Arial-BoldItalicMT"/>
    </font>
    <font>
      <b/>
      <i/>
      <sz val="10"/>
      <color rgb="FF000000"/>
      <name val="Arial-ItalicMT"/>
    </font>
    <font>
      <b/>
      <sz val="12"/>
      <name val="ArialMT"/>
    </font>
    <font>
      <b/>
      <sz val="12"/>
      <color rgb="FF394041"/>
      <name val="Arial"/>
      <family val="2"/>
    </font>
    <font>
      <sz val="7"/>
      <color rgb="FF333333"/>
      <name val="Arial"/>
      <family val="2"/>
    </font>
    <font>
      <b/>
      <sz val="7"/>
      <color rgb="FF333333"/>
      <name val="Arial"/>
      <family val="2"/>
    </font>
    <font>
      <b/>
      <i/>
      <sz val="7"/>
      <color rgb="FF333333"/>
      <name val="Arial"/>
      <family val="2"/>
    </font>
    <font>
      <sz val="7"/>
      <color rgb="FF333333"/>
      <name val="Arial"/>
      <family val="2"/>
    </font>
    <font>
      <b/>
      <sz val="9"/>
      <color rgb="FF222222"/>
      <name val="Arial"/>
      <family val="2"/>
    </font>
    <font>
      <sz val="7"/>
      <color rgb="FF5C727D"/>
      <name val="Arial"/>
      <family val="2"/>
    </font>
    <font>
      <b/>
      <sz val="7"/>
      <color rgb="FFCC9000"/>
      <name val="Arial-BoldMT"/>
    </font>
    <font>
      <sz val="10"/>
      <color rgb="FF595959"/>
      <name val="ArialMT"/>
    </font>
    <font>
      <b/>
      <i/>
      <sz val="9"/>
      <color rgb="FF595959"/>
      <name val="Arial-BoldItalicMT"/>
    </font>
    <font>
      <b/>
      <sz val="6"/>
      <color rgb="FF595959"/>
      <name val="Arial-BoldMT"/>
    </font>
    <font>
      <sz val="9"/>
      <color rgb="FF000000"/>
      <name val="ArialMT"/>
    </font>
    <font>
      <b/>
      <sz val="9"/>
      <name val="Arial-BoldMT"/>
    </font>
    <font>
      <b/>
      <sz val="9"/>
      <color rgb="FF000000"/>
      <name val="ArialMT"/>
    </font>
  </fonts>
  <fills count="2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0F0F0"/>
        <bgColor indexed="64"/>
      </patternFill>
    </fill>
    <fill>
      <patternFill patternType="solid">
        <fgColor rgb="FFEBEBEB"/>
      </patternFill>
    </fill>
    <fill>
      <patternFill patternType="solid">
        <fgColor rgb="FFDEFEEA"/>
      </patternFill>
    </fill>
    <fill>
      <patternFill patternType="solid">
        <fgColor rgb="FFE2F9FF"/>
      </patternFill>
    </fill>
    <fill>
      <patternFill patternType="solid">
        <fgColor rgb="FFEAEEFF"/>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3D67AE"/>
        <bgColor indexed="64"/>
      </patternFill>
    </fill>
    <fill>
      <patternFill patternType="solid">
        <fgColor rgb="FFEEEEEE"/>
        <bgColor indexed="64"/>
      </patternFill>
    </fill>
    <fill>
      <patternFill patternType="solid">
        <fgColor rgb="FFFAFAFA"/>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CC"/>
      </patternFill>
    </fill>
    <fill>
      <patternFill patternType="solid">
        <fgColor theme="4"/>
      </patternFill>
    </fill>
    <fill>
      <patternFill patternType="solid">
        <fgColor theme="5" tint="0.59999389629810485"/>
        <bgColor indexed="65"/>
      </patternFill>
    </fill>
    <fill>
      <patternFill patternType="solid">
        <fgColor theme="9"/>
      </patternFill>
    </fill>
    <fill>
      <patternFill patternType="solid">
        <fgColor theme="6" tint="0.59999389629810485"/>
        <bgColor indexed="65"/>
      </patternFill>
    </fill>
    <fill>
      <patternFill patternType="solid">
        <fgColor rgb="FFF7F7F7"/>
        <bgColor indexed="64"/>
      </patternFill>
    </fill>
  </fills>
  <borders count="76">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medium">
        <color rgb="FFD2D2D2"/>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thin">
        <color rgb="FF000000"/>
      </left>
      <right/>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rgb="FFEEEEEE"/>
      </left>
      <right/>
      <top style="medium">
        <color rgb="FFEEEEEE"/>
      </top>
      <bottom/>
      <diagonal/>
    </border>
    <border>
      <left/>
      <right/>
      <top style="medium">
        <color rgb="FFEEEEEE"/>
      </top>
      <bottom/>
      <diagonal/>
    </border>
    <border>
      <left/>
      <right style="medium">
        <color rgb="FFEEEEEE"/>
      </right>
      <top style="medium">
        <color rgb="FFEEEEEE"/>
      </top>
      <bottom/>
      <diagonal/>
    </border>
    <border>
      <left/>
      <right style="medium">
        <color rgb="FFEEEEEE"/>
      </right>
      <top/>
      <bottom/>
      <diagonal/>
    </border>
    <border>
      <left style="medium">
        <color rgb="FFEEEEEE"/>
      </left>
      <right/>
      <top style="medium">
        <color rgb="FFEEEEEE"/>
      </top>
      <bottom style="medium">
        <color rgb="FFEEEEEE"/>
      </bottom>
      <diagonal/>
    </border>
    <border>
      <left/>
      <right/>
      <top style="medium">
        <color rgb="FFEEEEEE"/>
      </top>
      <bottom style="medium">
        <color rgb="FFEEEEEE"/>
      </bottom>
      <diagonal/>
    </border>
    <border>
      <left/>
      <right style="medium">
        <color rgb="FFEEEEEE"/>
      </right>
      <top style="medium">
        <color rgb="FFEEEEEE"/>
      </top>
      <bottom style="medium">
        <color rgb="FFEEEEEE"/>
      </bottom>
      <diagonal/>
    </border>
    <border>
      <left style="medium">
        <color rgb="FFFFFFFF"/>
      </left>
      <right style="medium">
        <color rgb="FFFFFFFF"/>
      </right>
      <top style="medium">
        <color rgb="FFFFFFFF"/>
      </top>
      <bottom style="medium">
        <color rgb="FFFFFFFF"/>
      </bottom>
      <diagonal/>
    </border>
    <border>
      <left style="thick">
        <color rgb="FFEEEEEE"/>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ck">
        <color rgb="FF000000"/>
      </left>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rgb="FF000000"/>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0F0F0"/>
      </left>
      <right style="medium">
        <color rgb="FFF0F0F0"/>
      </right>
      <top style="medium">
        <color rgb="FFF0F0F0"/>
      </top>
      <bottom/>
      <diagonal/>
    </border>
    <border>
      <left style="medium">
        <color rgb="FFF0F0F0"/>
      </left>
      <right style="medium">
        <color rgb="FFF0F0F0"/>
      </right>
      <top/>
      <bottom/>
      <diagonal/>
    </border>
  </borders>
  <cellStyleXfs count="9">
    <xf numFmtId="0" fontId="0" fillId="0" borderId="0"/>
    <xf numFmtId="165" fontId="2" fillId="0" borderId="0" applyFont="0" applyFill="0" applyBorder="0" applyAlignment="0" applyProtection="0"/>
    <xf numFmtId="0" fontId="9" fillId="0" borderId="0" applyNumberFormat="0" applyFill="0" applyBorder="0" applyAlignment="0" applyProtection="0"/>
    <xf numFmtId="9" fontId="2" fillId="0" borderId="0" applyFont="0" applyFill="0" applyBorder="0" applyAlignment="0" applyProtection="0"/>
    <xf numFmtId="0" fontId="2" fillId="20" borderId="67" applyNumberFormat="0" applyFont="0" applyAlignment="0" applyProtection="0"/>
    <xf numFmtId="0" fontId="105" fillId="21" borderId="0" applyNumberFormat="0" applyBorder="0" applyAlignment="0" applyProtection="0"/>
    <xf numFmtId="0" fontId="2" fillId="22" borderId="0" applyNumberFormat="0" applyBorder="0" applyAlignment="0" applyProtection="0"/>
    <xf numFmtId="0" fontId="105" fillId="23" borderId="0" applyNumberFormat="0" applyBorder="0" applyAlignment="0" applyProtection="0"/>
    <xf numFmtId="0" fontId="2" fillId="24" borderId="0" applyNumberFormat="0" applyBorder="0" applyAlignment="0" applyProtection="0"/>
  </cellStyleXfs>
  <cellXfs count="722">
    <xf numFmtId="0" fontId="0" fillId="0" borderId="0" xfId="0"/>
    <xf numFmtId="0" fontId="0" fillId="0" borderId="2" xfId="0" applyBorder="1"/>
    <xf numFmtId="0" fontId="6" fillId="0" borderId="6" xfId="0" applyFont="1"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8" fillId="0" borderId="0" xfId="0"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xf>
    <xf numFmtId="0" fontId="1" fillId="0" borderId="0" xfId="0" applyFont="1"/>
    <xf numFmtId="0" fontId="0" fillId="0" borderId="0" xfId="0" applyAlignment="1">
      <alignment horizontal="left" vertical="center" indent="1"/>
    </xf>
    <xf numFmtId="17" fontId="11" fillId="0" borderId="0" xfId="0" applyNumberFormat="1"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horizontal="left" vertical="center" indent="2"/>
    </xf>
    <xf numFmtId="0" fontId="0" fillId="0" borderId="0" xfId="0" applyAlignment="1">
      <alignment horizontal="left"/>
    </xf>
    <xf numFmtId="0" fontId="13" fillId="0" borderId="11" xfId="0" applyFont="1" applyFill="1" applyBorder="1" applyAlignment="1">
      <alignment horizontal="center" vertical="top" wrapText="1"/>
    </xf>
    <xf numFmtId="0" fontId="13" fillId="0" borderId="11" xfId="0" applyFont="1" applyFill="1" applyBorder="1" applyAlignment="1">
      <alignment horizontal="left" vertical="top" wrapText="1" indent="2"/>
    </xf>
    <xf numFmtId="0" fontId="13" fillId="0" borderId="11" xfId="0" applyFont="1" applyFill="1" applyBorder="1" applyAlignment="1">
      <alignment horizontal="left" vertical="top" wrapText="1" indent="1"/>
    </xf>
    <xf numFmtId="0" fontId="0" fillId="0" borderId="0" xfId="0" applyFill="1" applyBorder="1" applyAlignment="1">
      <alignment horizontal="left" vertical="top"/>
    </xf>
    <xf numFmtId="166" fontId="15" fillId="6" borderId="7" xfId="0" applyNumberFormat="1" applyFont="1" applyFill="1" applyBorder="1" applyAlignment="1">
      <alignment horizontal="right" vertical="top" shrinkToFit="1"/>
    </xf>
    <xf numFmtId="4" fontId="15" fillId="6" borderId="7" xfId="0" applyNumberFormat="1" applyFont="1" applyFill="1" applyBorder="1" applyAlignment="1">
      <alignment horizontal="right" vertical="top" shrinkToFit="1"/>
    </xf>
    <xf numFmtId="0" fontId="0" fillId="6" borderId="7" xfId="0" applyFill="1" applyBorder="1" applyAlignment="1">
      <alignment horizontal="left" wrapText="1"/>
    </xf>
    <xf numFmtId="0" fontId="0" fillId="0" borderId="19" xfId="0" applyFill="1" applyBorder="1" applyAlignment="1">
      <alignment horizontal="left" vertical="center" wrapText="1"/>
    </xf>
    <xf numFmtId="4" fontId="15" fillId="6" borderId="11" xfId="0" applyNumberFormat="1" applyFont="1" applyFill="1" applyBorder="1" applyAlignment="1">
      <alignment horizontal="right" vertical="top" shrinkToFit="1"/>
    </xf>
    <xf numFmtId="2" fontId="15" fillId="6" borderId="11" xfId="0" applyNumberFormat="1" applyFont="1" applyFill="1" applyBorder="1" applyAlignment="1">
      <alignment horizontal="right" vertical="top" shrinkToFit="1"/>
    </xf>
    <xf numFmtId="0" fontId="0" fillId="7" borderId="7" xfId="0" applyFill="1" applyBorder="1" applyAlignment="1">
      <alignment horizontal="left" wrapText="1"/>
    </xf>
    <xf numFmtId="0" fontId="0" fillId="0" borderId="12" xfId="0" applyFill="1" applyBorder="1" applyAlignment="1">
      <alignment horizontal="left" wrapText="1"/>
    </xf>
    <xf numFmtId="167" fontId="15" fillId="0" borderId="12" xfId="0" applyNumberFormat="1" applyFont="1" applyFill="1" applyBorder="1" applyAlignment="1">
      <alignment horizontal="right" vertical="top" shrinkToFit="1"/>
    </xf>
    <xf numFmtId="167" fontId="15" fillId="7" borderId="12" xfId="0" applyNumberFormat="1" applyFont="1" applyFill="1" applyBorder="1" applyAlignment="1">
      <alignment horizontal="right" vertical="top" shrinkToFit="1"/>
    </xf>
    <xf numFmtId="2" fontId="15" fillId="7" borderId="12" xfId="0" applyNumberFormat="1" applyFont="1" applyFill="1" applyBorder="1" applyAlignment="1">
      <alignment horizontal="right" vertical="top" shrinkToFit="1"/>
    </xf>
    <xf numFmtId="2" fontId="15" fillId="0" borderId="12" xfId="0" applyNumberFormat="1" applyFont="1" applyFill="1" applyBorder="1" applyAlignment="1">
      <alignment horizontal="right" vertical="top" shrinkToFit="1"/>
    </xf>
    <xf numFmtId="0" fontId="0" fillId="7" borderId="12" xfId="0" applyFill="1" applyBorder="1" applyAlignment="1">
      <alignment horizontal="left" wrapText="1"/>
    </xf>
    <xf numFmtId="0" fontId="0" fillId="7" borderId="19" xfId="0" applyFill="1" applyBorder="1" applyAlignment="1">
      <alignment horizontal="left" wrapText="1"/>
    </xf>
    <xf numFmtId="2" fontId="17" fillId="7" borderId="19" xfId="0" applyNumberFormat="1" applyFont="1" applyFill="1" applyBorder="1" applyAlignment="1">
      <alignment horizontal="right" vertical="top" shrinkToFit="1"/>
    </xf>
    <xf numFmtId="2" fontId="15" fillId="0" borderId="11" xfId="0" applyNumberFormat="1" applyFont="1" applyFill="1" applyBorder="1" applyAlignment="1">
      <alignment horizontal="right" vertical="top" shrinkToFit="1"/>
    </xf>
    <xf numFmtId="0" fontId="0" fillId="0" borderId="11" xfId="0" applyFill="1" applyBorder="1" applyAlignment="1">
      <alignment horizontal="left" wrapText="1"/>
    </xf>
    <xf numFmtId="167" fontId="15" fillId="0" borderId="11" xfId="0" applyNumberFormat="1" applyFont="1" applyFill="1" applyBorder="1" applyAlignment="1">
      <alignment horizontal="right" vertical="top" shrinkToFit="1"/>
    </xf>
    <xf numFmtId="0" fontId="0" fillId="0" borderId="11" xfId="0" applyFill="1" applyBorder="1" applyAlignment="1">
      <alignment horizontal="left" vertical="top" wrapText="1"/>
    </xf>
    <xf numFmtId="0" fontId="0" fillId="0" borderId="11" xfId="0" applyFill="1" applyBorder="1" applyAlignment="1">
      <alignment horizontal="left" vertical="center" wrapText="1"/>
    </xf>
    <xf numFmtId="4" fontId="20" fillId="7" borderId="11" xfId="0" applyNumberFormat="1" applyFont="1" applyFill="1" applyBorder="1" applyAlignment="1">
      <alignment horizontal="right" vertical="top" shrinkToFit="1"/>
    </xf>
    <xf numFmtId="0" fontId="13" fillId="0" borderId="11" xfId="0" applyFont="1" applyFill="1" applyBorder="1" applyAlignment="1">
      <alignment horizontal="left" vertical="top" wrapText="1"/>
    </xf>
    <xf numFmtId="2" fontId="15" fillId="0" borderId="11" xfId="0" applyNumberFormat="1" applyFont="1" applyFill="1" applyBorder="1" applyAlignment="1">
      <alignment horizontal="left" vertical="top" indent="1" shrinkToFit="1"/>
    </xf>
    <xf numFmtId="0" fontId="19" fillId="5" borderId="11" xfId="0" applyFont="1" applyFill="1" applyBorder="1" applyAlignment="1">
      <alignment horizontal="left" vertical="top" wrapText="1" indent="1"/>
    </xf>
    <xf numFmtId="0" fontId="19" fillId="5" borderId="11" xfId="0" applyFont="1" applyFill="1" applyBorder="1" applyAlignment="1">
      <alignment horizontal="left" vertical="top" wrapText="1" indent="2"/>
    </xf>
    <xf numFmtId="4" fontId="15" fillId="0" borderId="7" xfId="0" applyNumberFormat="1" applyFont="1" applyFill="1" applyBorder="1" applyAlignment="1">
      <alignment horizontal="right" vertical="top" shrinkToFit="1"/>
    </xf>
    <xf numFmtId="4" fontId="15" fillId="8" borderId="12" xfId="0" applyNumberFormat="1" applyFont="1" applyFill="1" applyBorder="1" applyAlignment="1">
      <alignment horizontal="right" vertical="top" shrinkToFit="1"/>
    </xf>
    <xf numFmtId="2" fontId="15" fillId="8" borderId="12" xfId="0" applyNumberFormat="1" applyFont="1" applyFill="1" applyBorder="1" applyAlignment="1">
      <alignment horizontal="right" vertical="top" shrinkToFit="1"/>
    </xf>
    <xf numFmtId="2" fontId="15" fillId="0" borderId="19" xfId="0" applyNumberFormat="1" applyFont="1" applyFill="1" applyBorder="1" applyAlignment="1">
      <alignment horizontal="right" vertical="top" shrinkToFit="1"/>
    </xf>
    <xf numFmtId="0" fontId="21" fillId="0" borderId="0" xfId="0" applyFont="1" applyFill="1" applyBorder="1" applyAlignment="1">
      <alignment horizontal="center" vertical="center"/>
    </xf>
    <xf numFmtId="0" fontId="0" fillId="0" borderId="0" xfId="0" applyFill="1" applyBorder="1" applyAlignment="1">
      <alignment horizontal="center" vertical="top"/>
    </xf>
    <xf numFmtId="0" fontId="0" fillId="0" borderId="0" xfId="0" applyAlignment="1">
      <alignment horizontal="left" vertical="center" wrapText="1"/>
    </xf>
    <xf numFmtId="0" fontId="23" fillId="0" borderId="0" xfId="0" applyFont="1" applyAlignment="1">
      <alignment horizontal="left" vertical="center" wrapText="1"/>
    </xf>
    <xf numFmtId="0" fontId="26" fillId="0" borderId="30" xfId="0" applyFont="1" applyBorder="1" applyAlignment="1">
      <alignment horizontal="justify" vertical="center" wrapText="1"/>
    </xf>
    <xf numFmtId="0" fontId="0" fillId="0" borderId="31" xfId="0" applyBorder="1" applyAlignment="1">
      <alignment vertical="center" wrapText="1"/>
    </xf>
    <xf numFmtId="0" fontId="27" fillId="0" borderId="29" xfId="0" applyFont="1" applyBorder="1" applyAlignment="1">
      <alignment horizontal="justify" vertical="center" wrapText="1"/>
    </xf>
    <xf numFmtId="0" fontId="27" fillId="0" borderId="31" xfId="0" applyFont="1" applyBorder="1" applyAlignment="1">
      <alignment horizontal="justify" vertical="center" wrapText="1"/>
    </xf>
    <xf numFmtId="0" fontId="25" fillId="0" borderId="22" xfId="0" applyFont="1" applyBorder="1" applyAlignment="1">
      <alignment horizontal="justify" vertical="center" wrapText="1"/>
    </xf>
    <xf numFmtId="0" fontId="25" fillId="0" borderId="22" xfId="0" applyFont="1" applyBorder="1" applyAlignment="1">
      <alignment horizontal="center" vertical="center" wrapText="1"/>
    </xf>
    <xf numFmtId="0" fontId="25" fillId="0" borderId="22" xfId="0" applyFont="1" applyBorder="1" applyAlignment="1">
      <alignment vertical="center" wrapText="1"/>
    </xf>
    <xf numFmtId="0" fontId="26" fillId="0" borderId="38" xfId="0" applyFont="1" applyBorder="1" applyAlignment="1">
      <alignment horizontal="justify" vertical="center" wrapText="1"/>
    </xf>
    <xf numFmtId="0" fontId="0" fillId="0" borderId="15" xfId="0" applyBorder="1"/>
    <xf numFmtId="0" fontId="0" fillId="0" borderId="20" xfId="0" applyBorder="1"/>
    <xf numFmtId="0" fontId="0" fillId="0" borderId="21" xfId="0" applyBorder="1"/>
    <xf numFmtId="0" fontId="0" fillId="0" borderId="16" xfId="0" applyBorder="1"/>
    <xf numFmtId="0" fontId="0" fillId="0" borderId="17" xfId="0" applyBorder="1"/>
    <xf numFmtId="0" fontId="0" fillId="0" borderId="18" xfId="0" applyBorder="1"/>
    <xf numFmtId="0" fontId="22" fillId="0" borderId="0" xfId="0" applyFont="1" applyAlignment="1">
      <alignment horizontal="left" vertical="center"/>
    </xf>
    <xf numFmtId="14" fontId="9" fillId="0" borderId="0" xfId="2" applyNumberFormat="1" applyAlignment="1">
      <alignment horizontal="left" vertical="center"/>
    </xf>
    <xf numFmtId="0" fontId="23" fillId="0" borderId="0" xfId="0" applyFont="1" applyAlignment="1">
      <alignment horizontal="left" vertical="center"/>
    </xf>
    <xf numFmtId="0" fontId="30" fillId="0" borderId="0" xfId="0" applyFont="1"/>
    <xf numFmtId="0" fontId="30" fillId="0" borderId="0" xfId="0" applyFont="1" applyAlignment="1">
      <alignment vertical="center"/>
    </xf>
    <xf numFmtId="0" fontId="32" fillId="0" borderId="0" xfId="0" applyFont="1" applyAlignment="1">
      <alignment vertical="center"/>
    </xf>
    <xf numFmtId="0" fontId="25" fillId="2" borderId="22" xfId="0" applyFont="1" applyFill="1" applyBorder="1" applyAlignment="1">
      <alignment horizontal="justify" vertical="center" wrapText="1"/>
    </xf>
    <xf numFmtId="0" fontId="25" fillId="2" borderId="22" xfId="0" applyFont="1" applyFill="1" applyBorder="1" applyAlignment="1">
      <alignment vertical="center" wrapText="1"/>
    </xf>
    <xf numFmtId="0" fontId="25" fillId="2" borderId="22" xfId="0" applyFont="1" applyFill="1" applyBorder="1" applyAlignment="1">
      <alignment horizontal="center" vertical="center" wrapText="1"/>
    </xf>
    <xf numFmtId="0" fontId="0" fillId="0" borderId="0" xfId="0" applyAlignment="1"/>
    <xf numFmtId="0" fontId="9" fillId="0" borderId="0" xfId="2" applyAlignment="1">
      <alignment vertical="center"/>
    </xf>
    <xf numFmtId="0" fontId="5" fillId="4" borderId="0" xfId="0" applyFont="1" applyFill="1" applyAlignment="1">
      <alignment vertical="center" wrapText="1"/>
    </xf>
    <xf numFmtId="0" fontId="5" fillId="3" borderId="0" xfId="0" applyFont="1" applyFill="1" applyAlignment="1">
      <alignment vertical="center" wrapText="1"/>
    </xf>
    <xf numFmtId="0" fontId="0" fillId="0" borderId="0" xfId="0" applyAlignment="1">
      <alignment wrapText="1"/>
    </xf>
    <xf numFmtId="4" fontId="0" fillId="0" borderId="0" xfId="0" applyNumberFormat="1"/>
    <xf numFmtId="0" fontId="5" fillId="4" borderId="0" xfId="0" applyFont="1" applyFill="1" applyAlignment="1">
      <alignment horizontal="center" wrapText="1"/>
    </xf>
    <xf numFmtId="4" fontId="0" fillId="0" borderId="0" xfId="0" applyNumberFormat="1" applyAlignment="1">
      <alignment wrapText="1"/>
    </xf>
    <xf numFmtId="0" fontId="0" fillId="0" borderId="0" xfId="0" applyFill="1" applyBorder="1" applyAlignment="1">
      <alignment horizontal="left" vertical="top" wrapText="1"/>
    </xf>
    <xf numFmtId="9" fontId="0" fillId="0" borderId="0" xfId="0" applyNumberFormat="1" applyFill="1" applyBorder="1" applyAlignment="1">
      <alignment horizontal="left" vertical="top" wrapText="1"/>
    </xf>
    <xf numFmtId="168" fontId="15" fillId="7" borderId="12" xfId="0" applyNumberFormat="1" applyFont="1" applyFill="1" applyBorder="1" applyAlignment="1">
      <alignment horizontal="right" vertical="top" shrinkToFit="1"/>
    </xf>
    <xf numFmtId="0" fontId="0" fillId="2" borderId="0" xfId="0" applyFill="1"/>
    <xf numFmtId="9" fontId="0" fillId="7" borderId="12" xfId="0" applyNumberFormat="1" applyFill="1" applyBorder="1" applyAlignment="1">
      <alignment horizontal="left" wrapText="1"/>
    </xf>
    <xf numFmtId="0" fontId="0" fillId="2" borderId="0" xfId="0" applyFill="1" applyBorder="1" applyAlignment="1">
      <alignment horizontal="left" vertical="top"/>
    </xf>
    <xf numFmtId="10" fontId="0" fillId="0" borderId="0" xfId="0" applyNumberFormat="1" applyFill="1" applyBorder="1" applyAlignment="1">
      <alignment horizontal="left" vertical="top"/>
    </xf>
    <xf numFmtId="0" fontId="13" fillId="2" borderId="2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21" xfId="0" applyFont="1" applyFill="1" applyBorder="1" applyAlignment="1">
      <alignment horizontal="left" vertical="top" wrapText="1"/>
    </xf>
    <xf numFmtId="0" fontId="35" fillId="0" borderId="0" xfId="0" applyFont="1" applyFill="1" applyBorder="1" applyAlignment="1">
      <alignment horizontal="left" vertical="top"/>
    </xf>
    <xf numFmtId="0" fontId="1" fillId="0" borderId="0" xfId="0" applyFont="1" applyFill="1" applyBorder="1" applyAlignment="1">
      <alignment horizontal="left" vertical="top"/>
    </xf>
    <xf numFmtId="4" fontId="1" fillId="0" borderId="0" xfId="0" applyNumberFormat="1" applyFont="1" applyAlignment="1">
      <alignment wrapText="1"/>
    </xf>
    <xf numFmtId="0" fontId="36" fillId="4" borderId="0" xfId="0" applyFont="1" applyFill="1" applyAlignment="1">
      <alignment horizontal="center" wrapText="1"/>
    </xf>
    <xf numFmtId="0" fontId="25" fillId="9" borderId="22" xfId="0" applyFont="1" applyFill="1" applyBorder="1" applyAlignment="1">
      <alignment vertical="center" wrapText="1"/>
    </xf>
    <xf numFmtId="0" fontId="34" fillId="10" borderId="22" xfId="0" applyFont="1" applyFill="1" applyBorder="1" applyAlignment="1">
      <alignment horizontal="justify" vertical="center" wrapText="1"/>
    </xf>
    <xf numFmtId="0" fontId="0" fillId="11" borderId="0" xfId="0" applyFill="1" applyBorder="1" applyAlignment="1">
      <alignment horizontal="left" vertical="top"/>
    </xf>
    <xf numFmtId="165" fontId="0" fillId="0" borderId="0" xfId="1" applyFont="1" applyFill="1" applyBorder="1" applyAlignment="1">
      <alignment horizontal="left" vertical="top"/>
    </xf>
    <xf numFmtId="165" fontId="0" fillId="0" borderId="0" xfId="1" applyFont="1"/>
    <xf numFmtId="165" fontId="0" fillId="0" borderId="0" xfId="0" applyNumberFormat="1"/>
    <xf numFmtId="171" fontId="0" fillId="0" borderId="0" xfId="0" applyNumberFormat="1"/>
    <xf numFmtId="0" fontId="39" fillId="0" borderId="0" xfId="0" applyFont="1"/>
    <xf numFmtId="0" fontId="41" fillId="0" borderId="0" xfId="0" applyFont="1"/>
    <xf numFmtId="0" fontId="43" fillId="0" borderId="0" xfId="0" applyFont="1"/>
    <xf numFmtId="0" fontId="40"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43" fillId="0" borderId="2" xfId="0" applyFont="1" applyBorder="1" applyAlignment="1">
      <alignment vertical="center" wrapText="1"/>
    </xf>
    <xf numFmtId="0" fontId="43" fillId="0" borderId="2" xfId="0" applyFont="1" applyBorder="1" applyAlignment="1">
      <alignment vertical="center"/>
    </xf>
    <xf numFmtId="0" fontId="43" fillId="0" borderId="2" xfId="0" applyFont="1" applyBorder="1" applyAlignment="1">
      <alignment horizontal="center" vertical="center" wrapText="1"/>
    </xf>
    <xf numFmtId="0" fontId="51" fillId="0" borderId="0" xfId="0" applyFont="1"/>
    <xf numFmtId="0" fontId="43" fillId="0" borderId="0" xfId="0" applyFont="1" applyBorder="1" applyAlignment="1">
      <alignment vertical="center" wrapText="1"/>
    </xf>
    <xf numFmtId="0" fontId="43" fillId="0" borderId="0" xfId="0" applyFont="1" applyBorder="1" applyAlignment="1">
      <alignment horizontal="center" vertical="center" wrapText="1"/>
    </xf>
    <xf numFmtId="0" fontId="43" fillId="0" borderId="0" xfId="0" applyFont="1" applyFill="1" applyBorder="1" applyAlignment="1">
      <alignment vertical="center"/>
    </xf>
    <xf numFmtId="0" fontId="43" fillId="0" borderId="0" xfId="0" applyFont="1" applyBorder="1" applyAlignment="1">
      <alignment vertical="center"/>
    </xf>
    <xf numFmtId="0" fontId="52" fillId="0" borderId="0" xfId="0" applyFont="1"/>
    <xf numFmtId="2" fontId="15" fillId="11" borderId="21" xfId="0" applyNumberFormat="1" applyFont="1" applyFill="1" applyBorder="1" applyAlignment="1">
      <alignment horizontal="center" vertical="top" shrinkToFit="1"/>
    </xf>
    <xf numFmtId="167" fontId="15" fillId="7" borderId="20" xfId="0" applyNumberFormat="1" applyFont="1" applyFill="1" applyBorder="1" applyAlignment="1">
      <alignment horizontal="right" vertical="top" shrinkToFit="1"/>
    </xf>
    <xf numFmtId="2" fontId="15" fillId="11" borderId="50" xfId="0" applyNumberFormat="1" applyFont="1" applyFill="1" applyBorder="1" applyAlignment="1">
      <alignment horizontal="center" vertical="top" shrinkToFit="1"/>
    </xf>
    <xf numFmtId="9" fontId="0" fillId="7" borderId="20" xfId="0" applyNumberFormat="1" applyFill="1" applyBorder="1" applyAlignment="1">
      <alignment horizontal="left" wrapText="1"/>
    </xf>
    <xf numFmtId="2" fontId="15" fillId="11" borderId="0" xfId="0" applyNumberFormat="1" applyFont="1" applyFill="1" applyBorder="1" applyAlignment="1">
      <alignment horizontal="center" vertical="top" shrinkToFit="1"/>
    </xf>
    <xf numFmtId="0" fontId="35" fillId="2" borderId="0" xfId="0" applyFont="1" applyFill="1"/>
    <xf numFmtId="0" fontId="38" fillId="0" borderId="0" xfId="0" applyFont="1" applyFill="1" applyBorder="1" applyAlignment="1">
      <alignment horizontal="left" vertical="top"/>
    </xf>
    <xf numFmtId="0" fontId="13" fillId="2" borderId="2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21" xfId="0" applyFont="1" applyFill="1" applyBorder="1" applyAlignment="1">
      <alignment horizontal="left" vertical="top" wrapText="1"/>
    </xf>
    <xf numFmtId="10" fontId="55" fillId="0" borderId="0" xfId="0" applyNumberFormat="1" applyFont="1" applyAlignment="1">
      <alignment horizontal="right"/>
    </xf>
    <xf numFmtId="167" fontId="54" fillId="0" borderId="12" xfId="0" applyNumberFormat="1" applyFont="1" applyFill="1" applyBorder="1" applyAlignment="1">
      <alignment horizontal="right" vertical="top" shrinkToFit="1"/>
    </xf>
    <xf numFmtId="169" fontId="1" fillId="7" borderId="12" xfId="0" applyNumberFormat="1" applyFont="1" applyFill="1" applyBorder="1" applyAlignment="1">
      <alignment horizontal="left" wrapText="1"/>
    </xf>
    <xf numFmtId="0" fontId="34" fillId="10" borderId="22" xfId="0" applyFont="1" applyFill="1" applyBorder="1" applyAlignment="1">
      <alignment horizontal="justify" vertical="center"/>
    </xf>
    <xf numFmtId="170" fontId="55" fillId="0" borderId="0" xfId="0" applyNumberFormat="1" applyFont="1" applyAlignment="1">
      <alignment horizontal="right"/>
    </xf>
    <xf numFmtId="0" fontId="58" fillId="0" borderId="0" xfId="0" applyFont="1" applyAlignment="1">
      <alignment horizontal="center"/>
    </xf>
    <xf numFmtId="0" fontId="0" fillId="0" borderId="0" xfId="0" applyFont="1" applyAlignment="1"/>
    <xf numFmtId="0" fontId="55" fillId="0" borderId="0" xfId="0" applyFont="1" applyAlignment="1">
      <alignment horizontal="center"/>
    </xf>
    <xf numFmtId="0" fontId="59" fillId="0" borderId="0" xfId="0" applyFont="1" applyAlignment="1">
      <alignment horizontal="center"/>
    </xf>
    <xf numFmtId="9" fontId="58" fillId="0" borderId="0" xfId="0" applyNumberFormat="1" applyFont="1" applyAlignment="1">
      <alignment horizontal="right"/>
    </xf>
    <xf numFmtId="0" fontId="58" fillId="0" borderId="0" xfId="0" applyFont="1" applyAlignment="1">
      <alignment horizontal="right"/>
    </xf>
    <xf numFmtId="2" fontId="58" fillId="0" borderId="0" xfId="0" applyNumberFormat="1" applyFont="1" applyAlignment="1">
      <alignment horizontal="right"/>
    </xf>
    <xf numFmtId="0" fontId="60" fillId="0" borderId="0" xfId="0" applyFont="1" applyAlignment="1">
      <alignment wrapText="1"/>
    </xf>
    <xf numFmtId="10" fontId="58" fillId="0" borderId="0" xfId="0" applyNumberFormat="1" applyFont="1" applyAlignment="1">
      <alignment horizontal="right"/>
    </xf>
    <xf numFmtId="10" fontId="58" fillId="10" borderId="0" xfId="0" applyNumberFormat="1" applyFont="1" applyFill="1" applyAlignment="1">
      <alignment horizontal="right"/>
    </xf>
    <xf numFmtId="0" fontId="61" fillId="10" borderId="0" xfId="0" applyFont="1" applyFill="1" applyAlignment="1">
      <alignment horizontal="center"/>
    </xf>
    <xf numFmtId="170" fontId="58" fillId="0" borderId="0" xfId="0" applyNumberFormat="1" applyFont="1" applyAlignment="1">
      <alignment horizontal="right"/>
    </xf>
    <xf numFmtId="0" fontId="58" fillId="0" borderId="0" xfId="0" applyFont="1" applyAlignment="1">
      <alignment wrapText="1"/>
    </xf>
    <xf numFmtId="2" fontId="55" fillId="0" borderId="0" xfId="0" applyNumberFormat="1" applyFont="1" applyAlignment="1">
      <alignment horizontal="center"/>
    </xf>
    <xf numFmtId="0" fontId="55" fillId="0" borderId="0" xfId="0" applyFont="1" applyAlignment="1">
      <alignment horizontal="left"/>
    </xf>
    <xf numFmtId="0" fontId="58" fillId="0" borderId="0" xfId="0" applyFont="1" applyAlignment="1">
      <alignment horizontal="left"/>
    </xf>
    <xf numFmtId="0" fontId="0" fillId="0" borderId="0" xfId="0" applyFont="1" applyAlignment="1">
      <alignment horizontal="left"/>
    </xf>
    <xf numFmtId="0" fontId="57" fillId="0" borderId="0" xfId="0" applyFont="1" applyAlignment="1">
      <alignment horizontal="left"/>
    </xf>
    <xf numFmtId="0" fontId="58" fillId="12" borderId="0" xfId="0" applyFont="1" applyFill="1" applyAlignment="1">
      <alignment horizontal="left"/>
    </xf>
    <xf numFmtId="0" fontId="62" fillId="3" borderId="52" xfId="0" applyFont="1" applyFill="1" applyBorder="1" applyAlignment="1">
      <alignment horizontal="left" vertical="center" wrapText="1" indent="2"/>
    </xf>
    <xf numFmtId="0" fontId="62" fillId="3" borderId="53" xfId="0" applyFont="1" applyFill="1" applyBorder="1" applyAlignment="1">
      <alignment horizontal="left" vertical="center" wrapText="1" indent="2"/>
    </xf>
    <xf numFmtId="0" fontId="0" fillId="3" borderId="54" xfId="0" applyFill="1" applyBorder="1"/>
    <xf numFmtId="3" fontId="62" fillId="3" borderId="52" xfId="0" applyNumberFormat="1" applyFont="1" applyFill="1" applyBorder="1" applyAlignment="1">
      <alignment horizontal="left" vertical="center" wrapText="1" indent="2"/>
    </xf>
    <xf numFmtId="3" fontId="62" fillId="2" borderId="52" xfId="0" applyNumberFormat="1" applyFont="1" applyFill="1" applyBorder="1" applyAlignment="1">
      <alignment horizontal="left" vertical="center" wrapText="1" indent="2"/>
    </xf>
    <xf numFmtId="3" fontId="0" fillId="0" borderId="0" xfId="0" applyNumberFormat="1"/>
    <xf numFmtId="0" fontId="62" fillId="3" borderId="56" xfId="0" applyFont="1" applyFill="1" applyBorder="1" applyAlignment="1">
      <alignment horizontal="left" vertical="center" wrapText="1" indent="2"/>
    </xf>
    <xf numFmtId="3" fontId="62" fillId="2" borderId="56" xfId="0" applyNumberFormat="1" applyFont="1" applyFill="1" applyBorder="1" applyAlignment="1">
      <alignment horizontal="left" vertical="center" wrapText="1" indent="2"/>
    </xf>
    <xf numFmtId="3" fontId="62" fillId="3" borderId="56" xfId="0" applyNumberFormat="1" applyFont="1" applyFill="1" applyBorder="1" applyAlignment="1">
      <alignment horizontal="left" vertical="center" wrapText="1" indent="2"/>
    </xf>
    <xf numFmtId="0" fontId="62" fillId="3" borderId="57" xfId="0" applyFont="1" applyFill="1" applyBorder="1" applyAlignment="1">
      <alignment horizontal="left" vertical="center" wrapText="1" indent="2"/>
    </xf>
    <xf numFmtId="165" fontId="1" fillId="0" borderId="0" xfId="1" applyFont="1"/>
    <xf numFmtId="0" fontId="62" fillId="0" borderId="0" xfId="0" applyFont="1" applyAlignment="1">
      <alignment horizontal="left" vertical="center"/>
    </xf>
    <xf numFmtId="0" fontId="63" fillId="0" borderId="0" xfId="0" applyFont="1" applyAlignment="1">
      <alignment horizontal="left" vertical="center"/>
    </xf>
    <xf numFmtId="0" fontId="3" fillId="0" borderId="0" xfId="0" applyFont="1"/>
    <xf numFmtId="165" fontId="3" fillId="0" borderId="0" xfId="1" applyFont="1"/>
    <xf numFmtId="0" fontId="64" fillId="0" borderId="0" xfId="0" applyFont="1"/>
    <xf numFmtId="0" fontId="4" fillId="0" borderId="0" xfId="0" applyFont="1"/>
    <xf numFmtId="165" fontId="4" fillId="0" borderId="0" xfId="1" applyFont="1"/>
    <xf numFmtId="0" fontId="24" fillId="0" borderId="0" xfId="0" applyFont="1" applyAlignment="1">
      <alignment horizontal="left" vertical="center"/>
    </xf>
    <xf numFmtId="0" fontId="20" fillId="3" borderId="51" xfId="0" applyFont="1" applyFill="1" applyBorder="1" applyAlignment="1">
      <alignment horizontal="left" vertical="center" wrapText="1" indent="2"/>
    </xf>
    <xf numFmtId="0" fontId="20" fillId="3" borderId="52" xfId="0" applyFont="1" applyFill="1" applyBorder="1" applyAlignment="1">
      <alignment horizontal="left" vertical="center" wrapText="1" indent="2"/>
    </xf>
    <xf numFmtId="0" fontId="20" fillId="3" borderId="53" xfId="0" applyFont="1" applyFill="1" applyBorder="1" applyAlignment="1">
      <alignment horizontal="left" vertical="center" wrapText="1" indent="2"/>
    </xf>
    <xf numFmtId="0" fontId="20" fillId="3" borderId="55" xfId="0" applyFont="1" applyFill="1" applyBorder="1" applyAlignment="1">
      <alignment horizontal="left" vertical="center" wrapText="1" indent="2"/>
    </xf>
    <xf numFmtId="0" fontId="65" fillId="0" borderId="0" xfId="0" applyFont="1" applyAlignment="1">
      <alignment horizontal="left" vertical="center"/>
    </xf>
    <xf numFmtId="168" fontId="15" fillId="0" borderId="12" xfId="0" applyNumberFormat="1" applyFont="1" applyFill="1" applyBorder="1" applyAlignment="1">
      <alignment horizontal="right" vertical="top" shrinkToFit="1"/>
    </xf>
    <xf numFmtId="3" fontId="62" fillId="10" borderId="52" xfId="0" applyNumberFormat="1" applyFont="1" applyFill="1" applyBorder="1" applyAlignment="1">
      <alignment horizontal="left" vertical="center" wrapText="1" indent="2"/>
    </xf>
    <xf numFmtId="0" fontId="66" fillId="0" borderId="0" xfId="0" applyFont="1"/>
    <xf numFmtId="10" fontId="66" fillId="0" borderId="0" xfId="0" applyNumberFormat="1" applyFont="1"/>
    <xf numFmtId="10" fontId="67" fillId="0" borderId="0" xfId="0" applyNumberFormat="1" applyFont="1"/>
    <xf numFmtId="3" fontId="20" fillId="2" borderId="56" xfId="0" applyNumberFormat="1" applyFont="1" applyFill="1" applyBorder="1" applyAlignment="1">
      <alignment horizontal="left" vertical="center" wrapText="1" indent="2"/>
    </xf>
    <xf numFmtId="0" fontId="1" fillId="2" borderId="0" xfId="0" applyFont="1" applyFill="1"/>
    <xf numFmtId="0" fontId="20" fillId="0" borderId="0" xfId="0" applyFont="1" applyAlignment="1">
      <alignment horizontal="right" vertical="center"/>
    </xf>
    <xf numFmtId="165" fontId="1" fillId="0" borderId="0" xfId="1" applyFont="1" applyAlignment="1"/>
    <xf numFmtId="165" fontId="0" fillId="0" borderId="0" xfId="1" applyFont="1" applyAlignment="1"/>
    <xf numFmtId="0" fontId="1" fillId="0" borderId="0" xfId="0" applyFont="1" applyAlignment="1"/>
    <xf numFmtId="0" fontId="62" fillId="0" borderId="0" xfId="0" applyFont="1" applyAlignment="1">
      <alignment vertical="center"/>
    </xf>
    <xf numFmtId="165" fontId="0" fillId="0" borderId="0" xfId="0" applyNumberFormat="1" applyAlignment="1"/>
    <xf numFmtId="0" fontId="0" fillId="2" borderId="0" xfId="0" applyFill="1" applyAlignment="1"/>
    <xf numFmtId="0" fontId="68" fillId="2" borderId="22" xfId="0" applyFont="1" applyFill="1" applyBorder="1" applyAlignment="1">
      <alignment horizontal="justify" vertical="center" wrapText="1"/>
    </xf>
    <xf numFmtId="0" fontId="34" fillId="2" borderId="22" xfId="0" applyFont="1" applyFill="1" applyBorder="1" applyAlignment="1">
      <alignment horizontal="justify" vertical="center" wrapText="1"/>
    </xf>
    <xf numFmtId="0" fontId="66" fillId="0" borderId="0" xfId="0" applyFont="1" applyAlignment="1">
      <alignment vertical="center"/>
    </xf>
    <xf numFmtId="0" fontId="69" fillId="13" borderId="58" xfId="0" applyFont="1" applyFill="1" applyBorder="1" applyAlignment="1">
      <alignment horizontal="center" vertical="center" wrapText="1"/>
    </xf>
    <xf numFmtId="0" fontId="70" fillId="14" borderId="58" xfId="0" applyFont="1" applyFill="1" applyBorder="1" applyAlignment="1">
      <alignment vertical="center" wrapText="1"/>
    </xf>
    <xf numFmtId="0" fontId="70" fillId="14" borderId="58" xfId="0" applyFont="1" applyFill="1" applyBorder="1" applyAlignment="1">
      <alignment horizontal="center" vertical="center" wrapText="1"/>
    </xf>
    <xf numFmtId="0" fontId="70" fillId="15" borderId="58" xfId="0" applyFont="1" applyFill="1" applyBorder="1" applyAlignment="1">
      <alignment vertical="center" wrapText="1"/>
    </xf>
    <xf numFmtId="0" fontId="70" fillId="15" borderId="58" xfId="0" applyFont="1" applyFill="1" applyBorder="1" applyAlignment="1">
      <alignment horizontal="center" vertical="center" wrapText="1"/>
    </xf>
    <xf numFmtId="165" fontId="70" fillId="14" borderId="58" xfId="1" applyFont="1" applyFill="1" applyBorder="1" applyAlignment="1">
      <alignment horizontal="center" vertical="center" wrapText="1"/>
    </xf>
    <xf numFmtId="165" fontId="70" fillId="15" borderId="58" xfId="1" applyFont="1" applyFill="1" applyBorder="1" applyAlignment="1">
      <alignment horizontal="center" vertical="center" wrapText="1"/>
    </xf>
    <xf numFmtId="164" fontId="70" fillId="14" borderId="58" xfId="0" applyNumberFormat="1" applyFont="1" applyFill="1" applyBorder="1" applyAlignment="1">
      <alignment horizontal="center" vertical="center" wrapText="1"/>
    </xf>
    <xf numFmtId="0" fontId="1" fillId="9" borderId="0" xfId="0" applyFont="1" applyFill="1"/>
    <xf numFmtId="0" fontId="20" fillId="9" borderId="0" xfId="0" applyFont="1" applyFill="1" applyBorder="1" applyAlignment="1">
      <alignment horizontal="left" vertical="center" wrapText="1" indent="2"/>
    </xf>
    <xf numFmtId="165" fontId="0" fillId="11" borderId="0" xfId="0" applyNumberFormat="1" applyFill="1"/>
    <xf numFmtId="0" fontId="0" fillId="11" borderId="0" xfId="0" applyFill="1"/>
    <xf numFmtId="4" fontId="62" fillId="3" borderId="52" xfId="0" applyNumberFormat="1" applyFont="1" applyFill="1" applyBorder="1" applyAlignment="1">
      <alignment horizontal="left" vertical="center" wrapText="1" indent="2"/>
    </xf>
    <xf numFmtId="0" fontId="71" fillId="0" borderId="0" xfId="0" applyFont="1"/>
    <xf numFmtId="164" fontId="0" fillId="0" borderId="0" xfId="0" applyNumberFormat="1"/>
    <xf numFmtId="9" fontId="72" fillId="0" borderId="0" xfId="0" applyNumberFormat="1" applyFont="1"/>
    <xf numFmtId="2" fontId="1" fillId="0" borderId="0" xfId="0" applyNumberFormat="1" applyFont="1"/>
    <xf numFmtId="3" fontId="20" fillId="2" borderId="52" xfId="0" applyNumberFormat="1" applyFont="1" applyFill="1" applyBorder="1" applyAlignment="1">
      <alignment horizontal="left" vertical="center" wrapText="1" indent="2"/>
    </xf>
    <xf numFmtId="0" fontId="75" fillId="0" borderId="0" xfId="0" applyFont="1" applyAlignment="1"/>
    <xf numFmtId="0" fontId="76" fillId="0" borderId="0" xfId="0" applyFont="1" applyAlignment="1">
      <alignment vertical="center"/>
    </xf>
    <xf numFmtId="0" fontId="77" fillId="0" borderId="0" xfId="0" applyFont="1" applyAlignment="1">
      <alignment vertical="center"/>
    </xf>
    <xf numFmtId="0" fontId="20" fillId="3" borderId="51" xfId="0" applyFont="1" applyFill="1" applyBorder="1" applyAlignment="1">
      <alignment vertical="center" wrapText="1"/>
    </xf>
    <xf numFmtId="0" fontId="20" fillId="3" borderId="55" xfId="0" applyFont="1" applyFill="1" applyBorder="1" applyAlignment="1">
      <alignment vertical="center" wrapText="1"/>
    </xf>
    <xf numFmtId="0" fontId="65" fillId="0" borderId="0" xfId="0" applyFont="1" applyAlignment="1">
      <alignment vertical="center"/>
    </xf>
    <xf numFmtId="0" fontId="63" fillId="0" borderId="0" xfId="0" applyFont="1" applyAlignment="1">
      <alignment vertical="center"/>
    </xf>
    <xf numFmtId="0" fontId="1" fillId="9" borderId="0" xfId="0" applyFont="1" applyFill="1" applyAlignment="1"/>
    <xf numFmtId="0" fontId="64" fillId="0" borderId="0" xfId="0" applyFont="1" applyAlignment="1"/>
    <xf numFmtId="0" fontId="31" fillId="0" borderId="6" xfId="0" applyFont="1" applyBorder="1" applyAlignment="1">
      <alignment vertical="center"/>
    </xf>
    <xf numFmtId="0" fontId="0" fillId="0" borderId="0" xfId="0" applyAlignment="1">
      <alignment vertical="center"/>
    </xf>
    <xf numFmtId="0" fontId="69" fillId="13" borderId="58" xfId="0" applyFont="1" applyFill="1" applyBorder="1" applyAlignment="1">
      <alignment vertical="center" wrapText="1"/>
    </xf>
    <xf numFmtId="0" fontId="73" fillId="0" borderId="0" xfId="0" applyFont="1" applyAlignment="1"/>
    <xf numFmtId="0" fontId="77" fillId="2" borderId="0" xfId="0" applyFont="1" applyFill="1" applyAlignment="1">
      <alignment vertical="center"/>
    </xf>
    <xf numFmtId="0" fontId="78" fillId="2" borderId="0" xfId="0" applyFont="1" applyFill="1" applyAlignment="1">
      <alignment vertical="center"/>
    </xf>
    <xf numFmtId="0" fontId="78" fillId="2" borderId="59" xfId="0" applyFont="1" applyFill="1" applyBorder="1" applyAlignment="1">
      <alignment vertical="center"/>
    </xf>
    <xf numFmtId="165" fontId="1" fillId="0" borderId="0" xfId="1" applyFont="1" applyAlignment="1">
      <alignment horizontal="left"/>
    </xf>
    <xf numFmtId="165" fontId="0" fillId="0" borderId="0" xfId="1" applyFont="1" applyAlignment="1">
      <alignment horizontal="left"/>
    </xf>
    <xf numFmtId="165" fontId="0" fillId="0" borderId="0" xfId="0" applyNumberFormat="1" applyAlignment="1">
      <alignment horizontal="left"/>
    </xf>
    <xf numFmtId="0" fontId="1" fillId="0" borderId="0" xfId="0" applyFont="1" applyAlignment="1">
      <alignment horizontal="left"/>
    </xf>
    <xf numFmtId="0" fontId="20" fillId="3" borderId="2" xfId="0" applyFont="1" applyFill="1" applyBorder="1" applyAlignment="1">
      <alignment horizontal="left" vertical="center" wrapText="1"/>
    </xf>
    <xf numFmtId="0" fontId="20" fillId="3" borderId="2" xfId="0" applyFont="1" applyFill="1" applyBorder="1" applyAlignment="1">
      <alignment horizontal="left" vertical="center" wrapText="1" indent="2"/>
    </xf>
    <xf numFmtId="4" fontId="62" fillId="3" borderId="2" xfId="0" applyNumberFormat="1" applyFont="1" applyFill="1" applyBorder="1" applyAlignment="1">
      <alignment horizontal="left" vertical="center" wrapText="1" indent="2"/>
    </xf>
    <xf numFmtId="0" fontId="62" fillId="3" borderId="2" xfId="0" applyFont="1" applyFill="1" applyBorder="1" applyAlignment="1">
      <alignment horizontal="left" vertical="center" wrapText="1" indent="2"/>
    </xf>
    <xf numFmtId="0" fontId="0" fillId="0" borderId="2" xfId="0" applyBorder="1" applyAlignment="1">
      <alignment horizontal="left"/>
    </xf>
    <xf numFmtId="3" fontId="62" fillId="3" borderId="2" xfId="0" applyNumberFormat="1" applyFont="1" applyFill="1" applyBorder="1" applyAlignment="1">
      <alignment horizontal="left" vertical="center" wrapText="1" indent="2"/>
    </xf>
    <xf numFmtId="3" fontId="62" fillId="2" borderId="2" xfId="0" applyNumberFormat="1" applyFont="1" applyFill="1" applyBorder="1" applyAlignment="1">
      <alignment horizontal="left" vertical="center" wrapText="1" indent="2"/>
    </xf>
    <xf numFmtId="0" fontId="0" fillId="2" borderId="2" xfId="0" applyFill="1" applyBorder="1" applyAlignment="1">
      <alignment horizontal="left"/>
    </xf>
    <xf numFmtId="3" fontId="62" fillId="10" borderId="2" xfId="0" applyNumberFormat="1" applyFont="1" applyFill="1" applyBorder="1" applyAlignment="1">
      <alignment horizontal="left" vertical="center" wrapText="1" indent="2"/>
    </xf>
    <xf numFmtId="3" fontId="20" fillId="2" borderId="2" xfId="0" applyNumberFormat="1" applyFont="1" applyFill="1" applyBorder="1" applyAlignment="1">
      <alignment horizontal="left" vertical="center" wrapText="1" indent="2"/>
    </xf>
    <xf numFmtId="0" fontId="1" fillId="2" borderId="2" xfId="0" applyFont="1"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20" fillId="3" borderId="2" xfId="0" applyFont="1" applyFill="1" applyBorder="1" applyAlignment="1">
      <alignment horizontal="center" vertical="center" wrapText="1"/>
    </xf>
    <xf numFmtId="0" fontId="20" fillId="2" borderId="2" xfId="0" applyFont="1" applyFill="1" applyBorder="1" applyAlignment="1">
      <alignment horizontal="center" vertical="center" wrapText="1"/>
    </xf>
    <xf numFmtId="10" fontId="0" fillId="0" borderId="0" xfId="0" applyNumberFormat="1" applyBorder="1" applyAlignment="1">
      <alignment horizontal="left"/>
    </xf>
    <xf numFmtId="9" fontId="0" fillId="0" borderId="0" xfId="0" applyNumberFormat="1"/>
    <xf numFmtId="0" fontId="20" fillId="9" borderId="2" xfId="0" applyFont="1" applyFill="1" applyBorder="1" applyAlignment="1">
      <alignment horizontal="center" vertical="center" wrapText="1"/>
    </xf>
    <xf numFmtId="172" fontId="0" fillId="0" borderId="0" xfId="0" applyNumberFormat="1"/>
    <xf numFmtId="165" fontId="81" fillId="0" borderId="0" xfId="1" applyFont="1" applyAlignment="1">
      <alignment horizontal="left"/>
    </xf>
    <xf numFmtId="0" fontId="81" fillId="0" borderId="0" xfId="0" applyFont="1"/>
    <xf numFmtId="0" fontId="81" fillId="0" borderId="0" xfId="0" applyFont="1" applyAlignment="1">
      <alignment horizontal="left"/>
    </xf>
    <xf numFmtId="0" fontId="1" fillId="0" borderId="0" xfId="0" applyFont="1" applyAlignment="1">
      <alignment horizontal="right"/>
    </xf>
    <xf numFmtId="0" fontId="82" fillId="0" borderId="0" xfId="0" applyFont="1"/>
    <xf numFmtId="0" fontId="20" fillId="12" borderId="2" xfId="0" applyFont="1" applyFill="1" applyBorder="1" applyAlignment="1">
      <alignment horizontal="center" vertical="center" wrapText="1"/>
    </xf>
    <xf numFmtId="0" fontId="20" fillId="12" borderId="2" xfId="0" applyFont="1" applyFill="1" applyBorder="1" applyAlignment="1">
      <alignment horizontal="left" vertical="center" wrapText="1" indent="2"/>
    </xf>
    <xf numFmtId="172" fontId="0" fillId="12" borderId="0" xfId="0" applyNumberFormat="1" applyFill="1"/>
    <xf numFmtId="0" fontId="20" fillId="10" borderId="2" xfId="0" applyFont="1" applyFill="1" applyBorder="1" applyAlignment="1">
      <alignment horizontal="center" vertical="center" wrapText="1"/>
    </xf>
    <xf numFmtId="0" fontId="20" fillId="2" borderId="60" xfId="0" applyFont="1" applyFill="1" applyBorder="1" applyAlignment="1">
      <alignment horizontal="left" vertical="center" wrapText="1" indent="2"/>
    </xf>
    <xf numFmtId="0" fontId="20" fillId="16" borderId="2" xfId="0" applyFont="1" applyFill="1" applyBorder="1" applyAlignment="1">
      <alignment horizontal="center" vertical="center" wrapText="1"/>
    </xf>
    <xf numFmtId="0" fontId="20" fillId="16" borderId="52" xfId="0" applyFont="1" applyFill="1" applyBorder="1" applyAlignment="1">
      <alignment horizontal="left" vertical="center" wrapText="1" indent="2"/>
    </xf>
    <xf numFmtId="0" fontId="20" fillId="16" borderId="0" xfId="0" applyFont="1" applyFill="1" applyBorder="1" applyAlignment="1">
      <alignment horizontal="left" vertical="center" wrapText="1" indent="2"/>
    </xf>
    <xf numFmtId="0" fontId="20" fillId="16" borderId="0" xfId="0" applyFont="1" applyFill="1" applyBorder="1" applyAlignment="1">
      <alignment vertical="center" wrapText="1"/>
    </xf>
    <xf numFmtId="165" fontId="20" fillId="16" borderId="0" xfId="1" applyFont="1" applyFill="1" applyBorder="1" applyAlignment="1">
      <alignment horizontal="left" vertical="center" wrapText="1" indent="2"/>
    </xf>
    <xf numFmtId="0" fontId="1" fillId="16" borderId="0" xfId="0" applyFont="1" applyFill="1"/>
    <xf numFmtId="0" fontId="1" fillId="16" borderId="0" xfId="0" applyFont="1" applyFill="1" applyAlignment="1">
      <alignment horizontal="left"/>
    </xf>
    <xf numFmtId="165" fontId="1" fillId="0" borderId="0" xfId="0" applyNumberFormat="1" applyFont="1" applyAlignment="1">
      <alignment horizontal="center"/>
    </xf>
    <xf numFmtId="0" fontId="1" fillId="0" borderId="0" xfId="0" applyFont="1" applyAlignment="1">
      <alignment horizontal="center"/>
    </xf>
    <xf numFmtId="0" fontId="83" fillId="0" borderId="0" xfId="0" applyFont="1" applyAlignment="1">
      <alignment vertical="center"/>
    </xf>
    <xf numFmtId="0" fontId="20" fillId="3" borderId="2" xfId="0" applyFont="1" applyFill="1" applyBorder="1" applyAlignment="1">
      <alignment vertical="center"/>
    </xf>
    <xf numFmtId="0" fontId="20" fillId="3" borderId="2" xfId="0" applyFont="1" applyFill="1" applyBorder="1" applyAlignment="1">
      <alignment horizontal="left" vertical="center"/>
    </xf>
    <xf numFmtId="4" fontId="74" fillId="3" borderId="2" xfId="0" applyNumberFormat="1" applyFont="1" applyFill="1" applyBorder="1" applyAlignment="1">
      <alignment horizontal="left" vertical="center"/>
    </xf>
    <xf numFmtId="0" fontId="74" fillId="3" borderId="2" xfId="0" applyFont="1" applyFill="1" applyBorder="1" applyAlignment="1">
      <alignment horizontal="left" vertical="center"/>
    </xf>
    <xf numFmtId="9" fontId="74" fillId="3" borderId="2" xfId="0" applyNumberFormat="1" applyFont="1" applyFill="1" applyBorder="1" applyAlignment="1">
      <alignment horizontal="left" vertical="center"/>
    </xf>
    <xf numFmtId="10" fontId="74" fillId="3" borderId="2" xfId="0" applyNumberFormat="1" applyFont="1" applyFill="1" applyBorder="1" applyAlignment="1">
      <alignment horizontal="left" vertical="center"/>
    </xf>
    <xf numFmtId="4" fontId="20" fillId="3" borderId="2" xfId="0" applyNumberFormat="1" applyFont="1" applyFill="1" applyBorder="1" applyAlignment="1">
      <alignment horizontal="left" vertical="center"/>
    </xf>
    <xf numFmtId="0" fontId="69" fillId="13" borderId="0" xfId="0" applyFont="1" applyFill="1" applyBorder="1" applyAlignment="1">
      <alignment horizontal="center" vertical="center" wrapText="1"/>
    </xf>
    <xf numFmtId="165" fontId="70" fillId="14" borderId="0" xfId="1" applyFont="1" applyFill="1" applyBorder="1" applyAlignment="1">
      <alignment horizontal="center" vertical="center" wrapText="1"/>
    </xf>
    <xf numFmtId="165" fontId="70" fillId="15" borderId="0" xfId="1" applyFont="1" applyFill="1" applyBorder="1" applyAlignment="1">
      <alignment horizontal="center" vertical="center" wrapText="1"/>
    </xf>
    <xf numFmtId="4" fontId="20" fillId="3" borderId="52" xfId="0" applyNumberFormat="1" applyFont="1" applyFill="1" applyBorder="1" applyAlignment="1">
      <alignment horizontal="left" vertical="center" wrapText="1" indent="2"/>
    </xf>
    <xf numFmtId="0" fontId="87" fillId="0" borderId="0" xfId="0" applyFont="1" applyAlignment="1">
      <alignment vertical="center"/>
    </xf>
    <xf numFmtId="0" fontId="88" fillId="0" borderId="6" xfId="0" applyFont="1" applyBorder="1" applyAlignment="1">
      <alignment horizontal="left" vertical="center" indent="1"/>
    </xf>
    <xf numFmtId="165" fontId="0" fillId="0" borderId="2" xfId="1" applyFont="1" applyBorder="1" applyAlignment="1">
      <alignment horizontal="center"/>
    </xf>
    <xf numFmtId="165" fontId="0" fillId="0" borderId="0" xfId="1" applyFont="1" applyAlignment="1">
      <alignment horizontal="center"/>
    </xf>
    <xf numFmtId="165" fontId="1" fillId="0" borderId="2" xfId="1" applyFont="1" applyBorder="1" applyAlignment="1">
      <alignment horizontal="center"/>
    </xf>
    <xf numFmtId="165" fontId="0" fillId="2" borderId="2" xfId="1" applyFont="1" applyFill="1" applyBorder="1" applyAlignment="1">
      <alignment horizontal="center"/>
    </xf>
    <xf numFmtId="0" fontId="89" fillId="0" borderId="0" xfId="0" applyFont="1" applyAlignment="1">
      <alignment vertical="center"/>
    </xf>
    <xf numFmtId="0" fontId="90" fillId="0" borderId="0" xfId="0" applyFont="1"/>
    <xf numFmtId="0" fontId="90" fillId="9" borderId="0" xfId="0" applyFont="1" applyFill="1"/>
    <xf numFmtId="165" fontId="0" fillId="9" borderId="2" xfId="1" applyFont="1" applyFill="1" applyBorder="1" applyAlignment="1">
      <alignment horizontal="center"/>
    </xf>
    <xf numFmtId="0" fontId="90" fillId="0" borderId="0" xfId="0" applyFont="1" applyAlignment="1">
      <alignment vertical="center"/>
    </xf>
    <xf numFmtId="0" fontId="90" fillId="0" borderId="0" xfId="0" applyFont="1" applyAlignment="1">
      <alignment horizontal="left" vertical="center"/>
    </xf>
    <xf numFmtId="0" fontId="90" fillId="17" borderId="0" xfId="0" applyFont="1" applyFill="1" applyAlignment="1">
      <alignment vertical="center"/>
    </xf>
    <xf numFmtId="165" fontId="0" fillId="17" borderId="2" xfId="1" applyFont="1" applyFill="1" applyBorder="1" applyAlignment="1">
      <alignment horizontal="center"/>
    </xf>
    <xf numFmtId="0" fontId="88" fillId="16" borderId="6" xfId="0" applyFont="1" applyFill="1" applyBorder="1" applyAlignment="1">
      <alignment horizontal="left" vertical="center" indent="1"/>
    </xf>
    <xf numFmtId="165" fontId="86" fillId="0" borderId="0" xfId="1" applyFont="1" applyAlignment="1">
      <alignment horizontal="center"/>
    </xf>
    <xf numFmtId="165" fontId="0" fillId="16" borderId="60" xfId="1" applyFont="1" applyFill="1" applyBorder="1" applyAlignment="1">
      <alignment horizontal="center"/>
    </xf>
    <xf numFmtId="0" fontId="0" fillId="0" borderId="0" xfId="0" applyBorder="1"/>
    <xf numFmtId="165" fontId="0" fillId="0" borderId="0" xfId="1" applyFont="1" applyBorder="1" applyAlignment="1">
      <alignment horizontal="center"/>
    </xf>
    <xf numFmtId="165" fontId="3" fillId="16" borderId="2" xfId="1" applyFont="1" applyFill="1" applyBorder="1" applyAlignment="1">
      <alignment horizontal="center"/>
    </xf>
    <xf numFmtId="14" fontId="0" fillId="0" borderId="0" xfId="0" applyNumberFormat="1"/>
    <xf numFmtId="0" fontId="0" fillId="0" borderId="0" xfId="0" applyAlignment="1">
      <alignment horizontal="center" vertical="center"/>
    </xf>
    <xf numFmtId="0" fontId="92" fillId="0" borderId="0" xfId="0" applyFont="1" applyAlignment="1">
      <alignment vertical="center"/>
    </xf>
    <xf numFmtId="0" fontId="93" fillId="0" borderId="0" xfId="0" applyFont="1" applyAlignment="1">
      <alignment vertical="center"/>
    </xf>
    <xf numFmtId="0" fontId="1" fillId="0" borderId="0" xfId="0" applyFont="1" applyAlignment="1">
      <alignment vertical="center"/>
    </xf>
    <xf numFmtId="0" fontId="0" fillId="0" borderId="64" xfId="0" applyBorder="1" applyAlignment="1">
      <alignment horizontal="left" vertical="center" indent="1"/>
    </xf>
    <xf numFmtId="0" fontId="94" fillId="0" borderId="0" xfId="0" applyFont="1" applyAlignment="1">
      <alignment horizontal="left" vertical="center" indent="1"/>
    </xf>
    <xf numFmtId="0" fontId="95" fillId="0" borderId="0" xfId="0" applyFont="1" applyAlignment="1">
      <alignment vertical="center"/>
    </xf>
    <xf numFmtId="0" fontId="0" fillId="0" borderId="0" xfId="0"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36" xfId="0" applyBorder="1" applyAlignment="1">
      <alignment vertical="center" wrapText="1"/>
    </xf>
    <xf numFmtId="0" fontId="0" fillId="0" borderId="28" xfId="0" applyBorder="1" applyAlignment="1">
      <alignment vertical="center" wrapText="1"/>
    </xf>
    <xf numFmtId="0" fontId="0" fillId="0" borderId="25" xfId="0" applyBorder="1" applyAlignment="1">
      <alignment vertical="center"/>
    </xf>
    <xf numFmtId="0" fontId="0" fillId="0" borderId="26" xfId="0" applyBorder="1" applyAlignment="1">
      <alignment horizontal="left"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2" xfId="0" applyBorder="1" applyAlignment="1">
      <alignment vertical="center" wrapText="1"/>
    </xf>
    <xf numFmtId="0" fontId="0" fillId="0" borderId="34" xfId="0" applyBorder="1" applyAlignment="1">
      <alignment vertical="center" wrapText="1"/>
    </xf>
    <xf numFmtId="173" fontId="0" fillId="0" borderId="34" xfId="0" applyNumberFormat="1" applyBorder="1" applyAlignment="1">
      <alignment vertical="center" wrapText="1"/>
    </xf>
    <xf numFmtId="0" fontId="0" fillId="0" borderId="33" xfId="0" applyBorder="1" applyAlignment="1">
      <alignment vertical="center" wrapText="1"/>
    </xf>
    <xf numFmtId="0" fontId="0" fillId="0" borderId="23" xfId="0" applyBorder="1" applyAlignment="1">
      <alignment vertical="center" wrapText="1"/>
    </xf>
    <xf numFmtId="0" fontId="1" fillId="0" borderId="23" xfId="0" applyFont="1" applyBorder="1" applyAlignment="1">
      <alignment vertical="center" wrapText="1"/>
    </xf>
    <xf numFmtId="0" fontId="1" fillId="0" borderId="35" xfId="0" applyFont="1" applyBorder="1" applyAlignment="1">
      <alignment vertical="center" wrapText="1"/>
    </xf>
    <xf numFmtId="0" fontId="1" fillId="0" borderId="24" xfId="0" applyFont="1" applyBorder="1" applyAlignment="1">
      <alignment vertical="center" wrapText="1"/>
    </xf>
    <xf numFmtId="0" fontId="0" fillId="0" borderId="30" xfId="0" applyBorder="1" applyAlignment="1">
      <alignment vertical="center" wrapText="1"/>
    </xf>
    <xf numFmtId="0" fontId="0" fillId="0" borderId="35" xfId="0" applyBorder="1" applyAlignment="1">
      <alignment vertical="center" wrapText="1"/>
    </xf>
    <xf numFmtId="0" fontId="0" fillId="0" borderId="24" xfId="0" applyBorder="1" applyAlignment="1">
      <alignment vertical="center" wrapText="1"/>
    </xf>
    <xf numFmtId="0" fontId="1" fillId="0" borderId="26" xfId="0" applyFont="1"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pplyAlignment="1">
      <alignment vertical="center" wrapText="1"/>
    </xf>
    <xf numFmtId="0" fontId="3" fillId="0" borderId="24" xfId="0" applyFont="1" applyBorder="1" applyAlignment="1">
      <alignment vertical="center" wrapText="1"/>
    </xf>
    <xf numFmtId="0" fontId="3" fillId="0" borderId="26" xfId="0" applyFont="1" applyBorder="1" applyAlignment="1">
      <alignment vertical="center" wrapText="1"/>
    </xf>
    <xf numFmtId="0" fontId="20" fillId="3" borderId="2" xfId="0" applyFont="1" applyFill="1" applyBorder="1" applyAlignment="1">
      <alignment vertical="center" wrapText="1"/>
    </xf>
    <xf numFmtId="165" fontId="1" fillId="0" borderId="2" xfId="1" applyFont="1" applyBorder="1"/>
    <xf numFmtId="0" fontId="59" fillId="0" borderId="0" xfId="0" applyFont="1" applyAlignment="1">
      <alignment vertical="center"/>
    </xf>
    <xf numFmtId="0" fontId="59" fillId="0" borderId="0" xfId="0" applyFont="1" applyAlignment="1">
      <alignment horizontal="left" vertical="center"/>
    </xf>
    <xf numFmtId="0" fontId="91" fillId="0" borderId="0" xfId="0" applyFont="1"/>
    <xf numFmtId="165" fontId="1" fillId="0" borderId="2" xfId="1" applyFont="1" applyBorder="1" applyAlignment="1">
      <alignment horizontal="center"/>
    </xf>
    <xf numFmtId="0" fontId="9" fillId="0" borderId="0" xfId="2"/>
    <xf numFmtId="0" fontId="91" fillId="0" borderId="0" xfId="0" applyFont="1" applyAlignment="1">
      <alignment vertical="center"/>
    </xf>
    <xf numFmtId="0" fontId="91" fillId="18" borderId="2" xfId="0" applyFont="1" applyFill="1" applyBorder="1" applyAlignment="1">
      <alignment vertical="center"/>
    </xf>
    <xf numFmtId="0" fontId="91" fillId="19" borderId="2" xfId="0" applyFont="1" applyFill="1" applyBorder="1" applyAlignment="1">
      <alignment vertical="center"/>
    </xf>
    <xf numFmtId="0" fontId="96" fillId="0" borderId="0" xfId="0" applyFont="1" applyAlignment="1">
      <alignment horizontal="left" vertical="center" indent="1"/>
    </xf>
    <xf numFmtId="0" fontId="90" fillId="0" borderId="0" xfId="0" applyFont="1" applyAlignment="1"/>
    <xf numFmtId="165" fontId="20" fillId="3" borderId="2" xfId="1" applyFont="1" applyFill="1" applyBorder="1" applyAlignment="1">
      <alignment horizontal="center" vertical="center" wrapText="1"/>
    </xf>
    <xf numFmtId="165" fontId="0" fillId="19" borderId="2" xfId="1" applyFont="1" applyFill="1" applyBorder="1" applyAlignment="1">
      <alignment horizontal="center"/>
    </xf>
    <xf numFmtId="165" fontId="0" fillId="0" borderId="2" xfId="1" applyNumberFormat="1" applyFont="1" applyBorder="1" applyAlignment="1">
      <alignment horizontal="center"/>
    </xf>
    <xf numFmtId="165" fontId="62" fillId="3" borderId="2" xfId="1" applyFont="1" applyFill="1" applyBorder="1" applyAlignment="1">
      <alignment horizontal="center" vertical="center" wrapText="1"/>
    </xf>
    <xf numFmtId="165" fontId="0" fillId="0" borderId="2" xfId="1" applyFont="1" applyBorder="1" applyAlignment="1">
      <alignment horizontal="center" wrapText="1"/>
    </xf>
    <xf numFmtId="165" fontId="1" fillId="0" borderId="2" xfId="1" applyFont="1" applyBorder="1" applyAlignment="1">
      <alignment horizontal="center" wrapText="1"/>
    </xf>
    <xf numFmtId="165" fontId="1" fillId="0" borderId="2" xfId="1" applyFont="1" applyBorder="1" applyAlignment="1">
      <alignment wrapText="1"/>
    </xf>
    <xf numFmtId="165" fontId="0" fillId="0" borderId="2" xfId="1" applyFont="1" applyBorder="1" applyAlignment="1">
      <alignment wrapText="1"/>
    </xf>
    <xf numFmtId="9" fontId="0" fillId="0" borderId="2" xfId="3" applyFont="1" applyBorder="1" applyAlignment="1">
      <alignment horizontal="center"/>
    </xf>
    <xf numFmtId="165" fontId="97" fillId="0" borderId="2" xfId="1" applyFont="1" applyBorder="1" applyAlignment="1">
      <alignment horizontal="center"/>
    </xf>
    <xf numFmtId="165" fontId="81" fillId="0" borderId="0" xfId="1" applyFont="1"/>
    <xf numFmtId="165" fontId="81" fillId="0" borderId="2" xfId="1" applyFont="1" applyBorder="1" applyAlignment="1">
      <alignment horizontal="center"/>
    </xf>
    <xf numFmtId="165" fontId="1" fillId="0" borderId="2" xfId="1" applyFont="1" applyBorder="1" applyAlignment="1">
      <alignment horizontal="center"/>
    </xf>
    <xf numFmtId="165" fontId="1" fillId="0" borderId="2" xfId="1" applyFont="1" applyBorder="1" applyAlignment="1"/>
    <xf numFmtId="165" fontId="1" fillId="0" borderId="0" xfId="1" applyFont="1" applyAlignment="1">
      <alignment horizontal="center"/>
    </xf>
    <xf numFmtId="165" fontId="3" fillId="0" borderId="2" xfId="1" applyFont="1" applyBorder="1" applyAlignment="1">
      <alignment horizontal="center"/>
    </xf>
    <xf numFmtId="0" fontId="88" fillId="2" borderId="6" xfId="0" applyFont="1" applyFill="1" applyBorder="1" applyAlignment="1">
      <alignment horizontal="left" vertical="center" indent="1"/>
    </xf>
    <xf numFmtId="165" fontId="62" fillId="3" borderId="2" xfId="1" applyFont="1" applyFill="1" applyBorder="1" applyAlignment="1">
      <alignment horizontal="center" vertical="center"/>
    </xf>
    <xf numFmtId="165" fontId="0" fillId="0" borderId="2" xfId="1" applyFont="1" applyBorder="1" applyAlignment="1"/>
    <xf numFmtId="0" fontId="91" fillId="18" borderId="2" xfId="0" applyFont="1" applyFill="1" applyBorder="1" applyAlignment="1">
      <alignment vertical="center" wrapText="1"/>
    </xf>
    <xf numFmtId="9" fontId="0" fillId="0" borderId="2" xfId="3" applyFont="1" applyBorder="1" applyAlignment="1">
      <alignment horizontal="center" wrapText="1"/>
    </xf>
    <xf numFmtId="165" fontId="0" fillId="0" borderId="2" xfId="1" applyNumberFormat="1" applyFont="1" applyBorder="1" applyAlignment="1">
      <alignment horizontal="center" wrapText="1"/>
    </xf>
    <xf numFmtId="165" fontId="81" fillId="0" borderId="0" xfId="1" applyFont="1" applyAlignment="1"/>
    <xf numFmtId="0" fontId="98" fillId="0" borderId="0" xfId="0" applyFont="1"/>
    <xf numFmtId="0" fontId="99" fillId="0" borderId="0" xfId="0" applyFont="1"/>
    <xf numFmtId="0" fontId="100" fillId="0" borderId="0" xfId="0" applyFont="1"/>
    <xf numFmtId="165" fontId="3" fillId="0" borderId="0" xfId="1" applyFont="1" applyAlignment="1">
      <alignment horizontal="center"/>
    </xf>
    <xf numFmtId="0" fontId="20" fillId="3" borderId="5" xfId="0" applyFont="1" applyFill="1" applyBorder="1" applyAlignment="1">
      <alignment horizontal="left" vertical="top" wrapText="1"/>
    </xf>
    <xf numFmtId="0" fontId="20" fillId="3" borderId="5" xfId="0" applyFont="1" applyFill="1" applyBorder="1" applyAlignment="1">
      <alignment horizontal="left" vertical="top" wrapText="1" indent="2"/>
    </xf>
    <xf numFmtId="165" fontId="1" fillId="10" borderId="4" xfId="0" applyNumberFormat="1" applyFont="1" applyFill="1" applyBorder="1" applyAlignment="1">
      <alignment horizontal="left"/>
    </xf>
    <xf numFmtId="165" fontId="1" fillId="0" borderId="50" xfId="1" applyFont="1" applyBorder="1" applyAlignment="1">
      <alignment horizontal="left"/>
    </xf>
    <xf numFmtId="165" fontId="1" fillId="0" borderId="1" xfId="1" applyFont="1" applyBorder="1" applyAlignment="1">
      <alignment horizontal="left"/>
    </xf>
    <xf numFmtId="165" fontId="81" fillId="0" borderId="65" xfId="1" applyFont="1" applyBorder="1" applyAlignment="1">
      <alignment horizontal="left"/>
    </xf>
    <xf numFmtId="165" fontId="81" fillId="0" borderId="50" xfId="1" applyFont="1" applyBorder="1" applyAlignment="1">
      <alignment horizontal="left"/>
    </xf>
    <xf numFmtId="165" fontId="1" fillId="10" borderId="50" xfId="0" applyNumberFormat="1" applyFont="1" applyFill="1" applyBorder="1" applyAlignment="1">
      <alignment horizontal="left"/>
    </xf>
    <xf numFmtId="165" fontId="1" fillId="2" borderId="66" xfId="1" applyFont="1" applyFill="1" applyBorder="1" applyAlignment="1">
      <alignment horizontal="left"/>
    </xf>
    <xf numFmtId="0" fontId="35" fillId="0" borderId="0" xfId="0" applyFont="1" applyAlignment="1">
      <alignment horizontal="left"/>
    </xf>
    <xf numFmtId="0" fontId="101" fillId="0" borderId="0" xfId="0" applyFont="1" applyAlignment="1">
      <alignment vertical="center"/>
    </xf>
    <xf numFmtId="0" fontId="102" fillId="0" borderId="0" xfId="0" applyFont="1" applyAlignment="1">
      <alignment vertical="center"/>
    </xf>
    <xf numFmtId="0" fontId="103" fillId="0" borderId="0" xfId="0" applyFont="1" applyAlignment="1">
      <alignment horizontal="left" vertical="center"/>
    </xf>
    <xf numFmtId="0" fontId="104" fillId="0" borderId="0" xfId="0" applyFont="1"/>
    <xf numFmtId="0" fontId="103" fillId="0" borderId="0" xfId="0" applyFont="1"/>
    <xf numFmtId="0" fontId="0" fillId="20" borderId="67" xfId="4" applyFont="1" applyAlignment="1">
      <alignment horizontal="left" vertical="top" wrapText="1"/>
    </xf>
    <xf numFmtId="0" fontId="35" fillId="20" borderId="67" xfId="4" applyFont="1" applyAlignment="1">
      <alignment horizontal="left" vertical="top" wrapText="1"/>
    </xf>
    <xf numFmtId="0" fontId="105" fillId="21" borderId="2" xfId="5" applyBorder="1" applyAlignment="1">
      <alignment horizontal="left" vertical="top" wrapText="1"/>
    </xf>
    <xf numFmtId="0" fontId="105" fillId="23" borderId="2" xfId="7" applyBorder="1" applyAlignment="1">
      <alignment horizontal="left" vertical="top" wrapText="1"/>
    </xf>
    <xf numFmtId="0" fontId="35" fillId="22" borderId="2" xfId="6" applyFont="1" applyBorder="1" applyAlignment="1">
      <alignment horizontal="left" vertical="top" wrapText="1"/>
    </xf>
    <xf numFmtId="0" fontId="0" fillId="0" borderId="2" xfId="0" applyBorder="1" applyAlignment="1">
      <alignment horizontal="left" vertical="top" wrapText="1"/>
    </xf>
    <xf numFmtId="43" fontId="0" fillId="20" borderId="67" xfId="4" applyNumberFormat="1" applyFont="1" applyAlignment="1">
      <alignment wrapText="1"/>
    </xf>
    <xf numFmtId="43" fontId="105" fillId="21" borderId="2" xfId="5" applyNumberFormat="1" applyBorder="1" applyAlignment="1">
      <alignment wrapText="1"/>
    </xf>
    <xf numFmtId="43" fontId="105" fillId="23" borderId="2" xfId="7" applyNumberFormat="1" applyBorder="1" applyAlignment="1">
      <alignment wrapText="1"/>
    </xf>
    <xf numFmtId="43" fontId="1" fillId="22" borderId="2" xfId="6" applyNumberFormat="1" applyFont="1" applyBorder="1" applyAlignment="1">
      <alignment wrapText="1"/>
    </xf>
    <xf numFmtId="0" fontId="25" fillId="0" borderId="29" xfId="0" applyFont="1" applyBorder="1" applyAlignment="1">
      <alignment horizontal="justify" vertical="center" wrapText="1"/>
    </xf>
    <xf numFmtId="0" fontId="25" fillId="0" borderId="30" xfId="0" applyFont="1" applyBorder="1" applyAlignment="1">
      <alignment horizontal="justify" vertical="center" wrapText="1"/>
    </xf>
    <xf numFmtId="0" fontId="88" fillId="0" borderId="6" xfId="0" applyFont="1" applyBorder="1" applyAlignment="1">
      <alignment horizontal="left" vertical="center"/>
    </xf>
    <xf numFmtId="0" fontId="106" fillId="0" borderId="0" xfId="0" applyFont="1"/>
    <xf numFmtId="0" fontId="107" fillId="0" borderId="0" xfId="0" applyFont="1"/>
    <xf numFmtId="0" fontId="109" fillId="0" borderId="0" xfId="0" applyFont="1"/>
    <xf numFmtId="0" fontId="110" fillId="0" borderId="0" xfId="0" applyFont="1"/>
    <xf numFmtId="165" fontId="25" fillId="2" borderId="22" xfId="1" applyFont="1" applyFill="1" applyBorder="1" applyAlignment="1">
      <alignment horizontal="justify" vertical="center" wrapText="1"/>
    </xf>
    <xf numFmtId="171" fontId="25" fillId="2" borderId="22" xfId="1" applyNumberFormat="1" applyFont="1" applyFill="1" applyBorder="1" applyAlignment="1">
      <alignment horizontal="justify" vertical="center" wrapText="1"/>
    </xf>
    <xf numFmtId="171" fontId="25" fillId="0" borderId="22" xfId="1" applyNumberFormat="1" applyFont="1" applyBorder="1" applyAlignment="1">
      <alignment horizontal="justify" vertical="center" wrapText="1"/>
    </xf>
    <xf numFmtId="171" fontId="68" fillId="2" borderId="22" xfId="1" applyNumberFormat="1" applyFont="1" applyFill="1" applyBorder="1" applyAlignment="1">
      <alignment horizontal="justify" vertical="center" wrapText="1"/>
    </xf>
    <xf numFmtId="171" fontId="25" fillId="2" borderId="33" xfId="1" applyNumberFormat="1" applyFont="1" applyFill="1" applyBorder="1" applyAlignment="1">
      <alignment horizontal="justify" vertical="center" wrapText="1"/>
    </xf>
    <xf numFmtId="171" fontId="25" fillId="2" borderId="22" xfId="1" applyNumberFormat="1" applyFont="1" applyFill="1" applyBorder="1" applyAlignment="1">
      <alignment horizontal="center" vertical="center" wrapText="1"/>
    </xf>
    <xf numFmtId="0" fontId="25" fillId="17" borderId="22" xfId="0" applyFont="1" applyFill="1" applyBorder="1" applyAlignment="1">
      <alignment horizontal="justify" vertical="center" wrapText="1"/>
    </xf>
    <xf numFmtId="0" fontId="25" fillId="17" borderId="33" xfId="0" applyFont="1" applyFill="1" applyBorder="1" applyAlignment="1">
      <alignment horizontal="justify" vertical="center" wrapText="1"/>
    </xf>
    <xf numFmtId="0" fontId="112" fillId="17" borderId="69" xfId="0" applyFont="1" applyFill="1" applyBorder="1"/>
    <xf numFmtId="0" fontId="4" fillId="17" borderId="70" xfId="0" applyFont="1" applyFill="1" applyBorder="1"/>
    <xf numFmtId="0" fontId="4" fillId="17" borderId="71" xfId="0" applyFont="1" applyFill="1" applyBorder="1"/>
    <xf numFmtId="0" fontId="112" fillId="17" borderId="72" xfId="0" applyFont="1" applyFill="1" applyBorder="1"/>
    <xf numFmtId="0" fontId="4" fillId="17" borderId="1" xfId="0" applyFont="1" applyFill="1" applyBorder="1"/>
    <xf numFmtId="0" fontId="4" fillId="17" borderId="73" xfId="0" applyFont="1" applyFill="1" applyBorder="1"/>
    <xf numFmtId="0" fontId="114" fillId="0" borderId="0" xfId="0" applyFont="1"/>
    <xf numFmtId="0" fontId="115" fillId="0" borderId="0" xfId="0" applyFont="1"/>
    <xf numFmtId="0" fontId="116" fillId="0" borderId="0" xfId="0" applyFont="1"/>
    <xf numFmtId="0" fontId="118" fillId="0" borderId="0" xfId="0" applyFont="1"/>
    <xf numFmtId="0" fontId="120" fillId="0" borderId="0" xfId="0" applyFont="1"/>
    <xf numFmtId="0" fontId="0" fillId="0" borderId="0" xfId="0" applyAlignment="1">
      <alignment horizontal="center"/>
    </xf>
    <xf numFmtId="0" fontId="64" fillId="17" borderId="0" xfId="0" applyFont="1" applyFill="1" applyAlignment="1">
      <alignment horizontal="center"/>
    </xf>
    <xf numFmtId="0" fontId="116" fillId="0" borderId="2" xfId="0" applyFont="1" applyBorder="1" applyAlignment="1">
      <alignment horizontal="center" vertical="center"/>
    </xf>
    <xf numFmtId="0" fontId="2" fillId="24" borderId="2" xfId="8" applyBorder="1"/>
    <xf numFmtId="165" fontId="2" fillId="24" borderId="2" xfId="8" applyNumberFormat="1" applyBorder="1"/>
    <xf numFmtId="0" fontId="1" fillId="24" borderId="2" xfId="8" applyFont="1" applyBorder="1"/>
    <xf numFmtId="171" fontId="1" fillId="24" borderId="2" xfId="8" applyNumberFormat="1" applyFont="1" applyBorder="1"/>
    <xf numFmtId="165" fontId="1" fillId="24" borderId="2" xfId="8" applyNumberFormat="1" applyFont="1" applyBorder="1"/>
    <xf numFmtId="0" fontId="121" fillId="24" borderId="2" xfId="8" applyFont="1" applyBorder="1"/>
    <xf numFmtId="165" fontId="121" fillId="24" borderId="2" xfId="8" applyNumberFormat="1" applyFont="1" applyBorder="1"/>
    <xf numFmtId="0" fontId="0" fillId="24" borderId="2" xfId="8" applyFont="1" applyBorder="1"/>
    <xf numFmtId="175" fontId="0" fillId="0" borderId="0" xfId="0" applyNumberFormat="1"/>
    <xf numFmtId="0" fontId="122" fillId="0" borderId="0" xfId="0" applyFont="1"/>
    <xf numFmtId="17" fontId="1" fillId="0" borderId="0" xfId="0" applyNumberFormat="1" applyFont="1" applyAlignment="1">
      <alignment horizontal="center"/>
    </xf>
    <xf numFmtId="0" fontId="64" fillId="17" borderId="2" xfId="0" applyFont="1" applyFill="1" applyBorder="1" applyAlignment="1">
      <alignment horizontal="center"/>
    </xf>
    <xf numFmtId="0" fontId="123" fillId="0" borderId="0" xfId="0" applyFont="1"/>
    <xf numFmtId="0" fontId="124" fillId="0" borderId="0" xfId="0" applyFont="1"/>
    <xf numFmtId="171" fontId="3" fillId="24" borderId="2" xfId="8" applyNumberFormat="1" applyFont="1" applyBorder="1"/>
    <xf numFmtId="17" fontId="1" fillId="0" borderId="0" xfId="0" applyNumberFormat="1" applyFont="1"/>
    <xf numFmtId="17" fontId="27" fillId="17" borderId="31" xfId="0" applyNumberFormat="1" applyFont="1" applyFill="1" applyBorder="1" applyAlignment="1">
      <alignment horizontal="justify" vertical="center" wrapText="1"/>
    </xf>
    <xf numFmtId="0" fontId="0" fillId="17" borderId="0" xfId="0" applyFill="1" applyAlignment="1"/>
    <xf numFmtId="165" fontId="0" fillId="17" borderId="0" xfId="1" applyFont="1" applyFill="1"/>
    <xf numFmtId="0" fontId="0" fillId="17" borderId="0" xfId="0" applyFill="1"/>
    <xf numFmtId="165" fontId="0" fillId="2" borderId="0" xfId="1" applyFont="1" applyFill="1"/>
    <xf numFmtId="0" fontId="125" fillId="0" borderId="0" xfId="0" applyFont="1"/>
    <xf numFmtId="0" fontId="126" fillId="0" borderId="0" xfId="0" applyFont="1"/>
    <xf numFmtId="0" fontId="127" fillId="0" borderId="0" xfId="0" applyFont="1"/>
    <xf numFmtId="0" fontId="129" fillId="0" borderId="0" xfId="0" applyFont="1"/>
    <xf numFmtId="17" fontId="130" fillId="16" borderId="0" xfId="0" applyNumberFormat="1" applyFont="1" applyFill="1"/>
    <xf numFmtId="0" fontId="131" fillId="0" borderId="0" xfId="0" applyFont="1" applyAlignment="1">
      <alignment vertical="center"/>
    </xf>
    <xf numFmtId="0" fontId="132" fillId="0" borderId="0" xfId="0" applyFont="1" applyAlignment="1">
      <alignment vertical="center"/>
    </xf>
    <xf numFmtId="0" fontId="132" fillId="3" borderId="0" xfId="0" applyFont="1" applyFill="1" applyAlignment="1">
      <alignment vertical="center"/>
    </xf>
    <xf numFmtId="0" fontId="133" fillId="3" borderId="2" xfId="0" applyFont="1" applyFill="1" applyBorder="1" applyAlignment="1">
      <alignment vertical="center"/>
    </xf>
    <xf numFmtId="165" fontId="132" fillId="3" borderId="2" xfId="1" applyFont="1" applyFill="1" applyBorder="1" applyAlignment="1">
      <alignment vertical="center"/>
    </xf>
    <xf numFmtId="174" fontId="132" fillId="3" borderId="2" xfId="1" applyNumberFormat="1" applyFont="1" applyFill="1" applyBorder="1" applyAlignment="1">
      <alignment vertical="center"/>
    </xf>
    <xf numFmtId="171" fontId="132" fillId="3" borderId="2" xfId="1" applyNumberFormat="1" applyFont="1" applyFill="1" applyBorder="1" applyAlignment="1">
      <alignment vertical="center"/>
    </xf>
    <xf numFmtId="0" fontId="134" fillId="0" borderId="0" xfId="0" applyFont="1" applyAlignment="1">
      <alignment vertical="center"/>
    </xf>
    <xf numFmtId="0" fontId="134" fillId="0" borderId="2" xfId="0" applyFont="1" applyBorder="1" applyAlignment="1">
      <alignment vertical="center"/>
    </xf>
    <xf numFmtId="0" fontId="133" fillId="0" borderId="0" xfId="0" applyFont="1" applyBorder="1" applyAlignment="1">
      <alignment vertical="center"/>
    </xf>
    <xf numFmtId="0" fontId="135" fillId="25" borderId="74" xfId="0" applyFont="1" applyFill="1" applyBorder="1" applyAlignment="1">
      <alignment horizontal="left" vertical="top" wrapText="1"/>
    </xf>
    <xf numFmtId="0" fontId="135" fillId="25" borderId="75" xfId="0" applyFont="1" applyFill="1" applyBorder="1" applyAlignment="1">
      <alignment horizontal="left" vertical="top" wrapText="1"/>
    </xf>
    <xf numFmtId="0" fontId="135" fillId="25" borderId="74" xfId="0" applyFont="1" applyFill="1" applyBorder="1" applyAlignment="1">
      <alignment vertical="top" wrapText="1"/>
    </xf>
    <xf numFmtId="0" fontId="135" fillId="25" borderId="75" xfId="0" applyFont="1" applyFill="1" applyBorder="1" applyAlignment="1">
      <alignment vertical="top" wrapText="1"/>
    </xf>
    <xf numFmtId="0" fontId="132" fillId="25" borderId="2" xfId="0" applyFont="1" applyFill="1" applyBorder="1" applyAlignment="1">
      <alignment horizontal="left" vertical="top" wrapText="1"/>
    </xf>
    <xf numFmtId="165" fontId="132" fillId="25" borderId="2" xfId="1" applyFont="1" applyFill="1" applyBorder="1" applyAlignment="1">
      <alignment horizontal="left" vertical="top" wrapText="1"/>
    </xf>
    <xf numFmtId="0" fontId="135" fillId="25" borderId="2" xfId="0" applyFont="1" applyFill="1" applyBorder="1" applyAlignment="1">
      <alignment horizontal="left" vertical="top" wrapText="1"/>
    </xf>
    <xf numFmtId="165" fontId="135" fillId="25" borderId="2" xfId="1" applyFont="1" applyFill="1" applyBorder="1" applyAlignment="1">
      <alignment horizontal="left" vertical="top" wrapText="1"/>
    </xf>
    <xf numFmtId="174" fontId="132" fillId="25" borderId="2" xfId="1" applyNumberFormat="1" applyFont="1" applyFill="1" applyBorder="1" applyAlignment="1">
      <alignment horizontal="left" vertical="top" wrapText="1"/>
    </xf>
    <xf numFmtId="0" fontId="136" fillId="0" borderId="0" xfId="0" applyFont="1" applyAlignment="1">
      <alignment vertical="center"/>
    </xf>
    <xf numFmtId="0" fontId="137" fillId="0" borderId="0" xfId="0" applyFont="1" applyAlignment="1">
      <alignment vertical="center"/>
    </xf>
    <xf numFmtId="0" fontId="99" fillId="0" borderId="0" xfId="0" applyFont="1" applyAlignment="1"/>
    <xf numFmtId="0" fontId="107" fillId="0" borderId="0" xfId="0" applyFont="1" applyAlignment="1"/>
    <xf numFmtId="0" fontId="126" fillId="0" borderId="0" xfId="0" applyFont="1" applyAlignment="1"/>
    <xf numFmtId="168" fontId="0" fillId="0" borderId="0" xfId="1" applyNumberFormat="1" applyFont="1"/>
    <xf numFmtId="168" fontId="0" fillId="0" borderId="0" xfId="0" applyNumberFormat="1"/>
    <xf numFmtId="0" fontId="138" fillId="0" borderId="0" xfId="0" applyFont="1"/>
    <xf numFmtId="0" fontId="139" fillId="0" borderId="0" xfId="0" applyFont="1"/>
    <xf numFmtId="0" fontId="116" fillId="0" borderId="2" xfId="0" applyFont="1" applyBorder="1" applyAlignment="1">
      <alignment vertical="center" wrapText="1"/>
    </xf>
    <xf numFmtId="0" fontId="139" fillId="0" borderId="0" xfId="0" applyFont="1" applyAlignment="1"/>
    <xf numFmtId="0" fontId="116" fillId="0" borderId="2" xfId="0" applyFont="1" applyBorder="1" applyAlignment="1">
      <alignment vertical="center"/>
    </xf>
    <xf numFmtId="0" fontId="140" fillId="0" borderId="2" xfId="0" applyFont="1" applyBorder="1" applyAlignment="1">
      <alignment vertical="center"/>
    </xf>
    <xf numFmtId="0" fontId="116" fillId="0" borderId="2" xfId="0" applyNumberFormat="1" applyFont="1" applyBorder="1" applyAlignment="1">
      <alignment vertical="center"/>
    </xf>
    <xf numFmtId="0" fontId="140" fillId="0" borderId="2" xfId="0" applyNumberFormat="1" applyFont="1" applyBorder="1" applyAlignment="1">
      <alignment vertical="center"/>
    </xf>
    <xf numFmtId="165" fontId="140" fillId="0" borderId="2" xfId="1" applyFont="1" applyBorder="1" applyAlignment="1">
      <alignment vertical="center"/>
    </xf>
    <xf numFmtId="0" fontId="115" fillId="0" borderId="2" xfId="0" applyFont="1" applyBorder="1" applyAlignment="1">
      <alignment vertical="center" wrapText="1"/>
    </xf>
    <xf numFmtId="0" fontId="116" fillId="0" borderId="0" xfId="0" applyFont="1" applyAlignment="1"/>
    <xf numFmtId="0" fontId="115" fillId="0" borderId="2" xfId="0" applyFont="1" applyBorder="1" applyAlignment="1">
      <alignment vertical="center"/>
    </xf>
    <xf numFmtId="173" fontId="0" fillId="0" borderId="0" xfId="0" applyNumberFormat="1"/>
    <xf numFmtId="165" fontId="0" fillId="0" borderId="2" xfId="1" applyFont="1" applyBorder="1"/>
    <xf numFmtId="171" fontId="0" fillId="0" borderId="2" xfId="1" applyNumberFormat="1" applyFont="1" applyBorder="1"/>
    <xf numFmtId="0" fontId="143" fillId="0" borderId="2" xfId="0" applyFont="1" applyBorder="1" applyAlignment="1">
      <alignment vertical="center" wrapText="1"/>
    </xf>
    <xf numFmtId="0" fontId="0" fillId="0" borderId="0" xfId="0" applyAlignment="1">
      <alignment vertical="top"/>
    </xf>
    <xf numFmtId="0" fontId="142" fillId="0" borderId="2" xfId="0" applyFont="1" applyBorder="1" applyAlignment="1">
      <alignment vertical="top" wrapText="1"/>
    </xf>
    <xf numFmtId="0" fontId="106" fillId="0" borderId="0" xfId="0" applyFont="1" applyAlignment="1"/>
    <xf numFmtId="0" fontId="144" fillId="0" borderId="0" xfId="0" applyFont="1"/>
    <xf numFmtId="0" fontId="20" fillId="16" borderId="5" xfId="0" applyFont="1" applyFill="1" applyBorder="1" applyAlignment="1">
      <alignment horizontal="left" vertical="top" wrapText="1" indent="2"/>
    </xf>
    <xf numFmtId="165" fontId="1" fillId="16" borderId="50" xfId="0" applyNumberFormat="1" applyFont="1" applyFill="1" applyBorder="1" applyAlignment="1">
      <alignment horizontal="left"/>
    </xf>
    <xf numFmtId="165" fontId="1" fillId="0" borderId="2" xfId="1" applyFont="1" applyBorder="1" applyAlignment="1">
      <alignment horizontal="center"/>
    </xf>
    <xf numFmtId="165" fontId="1" fillId="0" borderId="5" xfId="1" applyFont="1" applyBorder="1" applyAlignment="1">
      <alignment horizontal="center" vertical="center"/>
    </xf>
    <xf numFmtId="165" fontId="1" fillId="0" borderId="63" xfId="1" applyFont="1" applyBorder="1" applyAlignment="1">
      <alignment horizontal="center" vertical="center"/>
    </xf>
    <xf numFmtId="165" fontId="1" fillId="0" borderId="3" xfId="1" applyFont="1" applyBorder="1" applyAlignment="1">
      <alignment horizontal="center" vertical="center"/>
    </xf>
    <xf numFmtId="0" fontId="1" fillId="0" borderId="61" xfId="0" applyFont="1" applyBorder="1" applyAlignment="1">
      <alignment horizontal="center"/>
    </xf>
    <xf numFmtId="0" fontId="1" fillId="0" borderId="62" xfId="0" applyFont="1" applyBorder="1" applyAlignment="1">
      <alignment horizontal="center"/>
    </xf>
    <xf numFmtId="165" fontId="1" fillId="0" borderId="2" xfId="1" applyFont="1" applyBorder="1" applyAlignment="1">
      <alignment horizontal="center" vertical="center"/>
    </xf>
    <xf numFmtId="165" fontId="1" fillId="0" borderId="2" xfId="1" applyNumberFormat="1" applyFont="1" applyBorder="1" applyAlignment="1">
      <alignment horizontal="center" vertical="center" wrapText="1"/>
    </xf>
    <xf numFmtId="174" fontId="1" fillId="0" borderId="2" xfId="1" applyNumberFormat="1" applyFont="1" applyBorder="1" applyAlignment="1">
      <alignment horizontal="center" vertical="center" wrapText="1"/>
    </xf>
    <xf numFmtId="165" fontId="1" fillId="0" borderId="2" xfId="1" applyNumberFormat="1" applyFont="1" applyBorder="1" applyAlignment="1">
      <alignment horizontal="center" vertical="center"/>
    </xf>
    <xf numFmtId="0" fontId="143" fillId="0" borderId="2" xfId="0" applyFont="1" applyBorder="1" applyAlignment="1">
      <alignment horizontal="center" vertical="center" wrapText="1"/>
    </xf>
    <xf numFmtId="0" fontId="144" fillId="0" borderId="2" xfId="0" applyFont="1" applyBorder="1" applyAlignment="1">
      <alignment horizontal="center" vertical="top" wrapText="1"/>
    </xf>
    <xf numFmtId="0" fontId="0" fillId="0" borderId="2" xfId="0" applyBorder="1" applyAlignment="1">
      <alignment horizontal="center" vertical="center"/>
    </xf>
    <xf numFmtId="0" fontId="1" fillId="0" borderId="23" xfId="0" applyFont="1" applyBorder="1" applyAlignment="1">
      <alignment horizontal="left" vertical="center"/>
    </xf>
    <xf numFmtId="0" fontId="1" fillId="0" borderId="35" xfId="0" applyFont="1" applyBorder="1" applyAlignment="1">
      <alignment horizontal="left" vertical="center"/>
    </xf>
    <xf numFmtId="0" fontId="1" fillId="0" borderId="24" xfId="0" applyFont="1" applyBorder="1" applyAlignment="1">
      <alignment horizontal="left" vertical="center"/>
    </xf>
    <xf numFmtId="0" fontId="0" fillId="0" borderId="25" xfId="0" applyBorder="1" applyAlignment="1">
      <alignment horizontal="left" vertical="center"/>
    </xf>
    <xf numFmtId="0" fontId="0" fillId="0" borderId="0" xfId="0" applyBorder="1" applyAlignment="1">
      <alignment horizontal="left" vertical="center"/>
    </xf>
    <xf numFmtId="0" fontId="0" fillId="0" borderId="26" xfId="0" applyBorder="1" applyAlignment="1">
      <alignment horizontal="left" vertical="center"/>
    </xf>
    <xf numFmtId="0" fontId="0" fillId="0" borderId="23" xfId="0" applyBorder="1" applyAlignment="1">
      <alignment vertical="center" wrapText="1"/>
    </xf>
    <xf numFmtId="0" fontId="0" fillId="0" borderId="35" xfId="0" applyBorder="1" applyAlignment="1">
      <alignment vertical="center" wrapText="1"/>
    </xf>
    <xf numFmtId="0" fontId="0" fillId="0" borderId="24" xfId="0" applyBorder="1" applyAlignment="1">
      <alignment vertical="center" wrapText="1"/>
    </xf>
    <xf numFmtId="0" fontId="26" fillId="0" borderId="13" xfId="0" applyFont="1" applyBorder="1" applyAlignment="1">
      <alignment horizontal="justify" vertical="center" wrapText="1"/>
    </xf>
    <xf numFmtId="0" fontId="26" fillId="0" borderId="37" xfId="0" applyFont="1" applyBorder="1" applyAlignment="1">
      <alignment horizontal="justify" vertical="center" wrapText="1"/>
    </xf>
    <xf numFmtId="0" fontId="26" fillId="0" borderId="20" xfId="0" applyFont="1" applyBorder="1" applyAlignment="1">
      <alignment horizontal="justify" vertical="center" wrapText="1"/>
    </xf>
    <xf numFmtId="0" fontId="26" fillId="0" borderId="26" xfId="0" applyFont="1" applyBorder="1" applyAlignment="1">
      <alignment horizontal="justify" vertical="center" wrapText="1"/>
    </xf>
    <xf numFmtId="0" fontId="26" fillId="0" borderId="42" xfId="0" applyFont="1" applyBorder="1" applyAlignment="1">
      <alignment horizontal="justify" vertical="center" wrapText="1"/>
    </xf>
    <xf numFmtId="0" fontId="26" fillId="0" borderId="28" xfId="0" applyFont="1" applyBorder="1" applyAlignment="1">
      <alignment horizontal="justify" vertical="center" wrapText="1"/>
    </xf>
    <xf numFmtId="0" fontId="26" fillId="0" borderId="39" xfId="0" applyFont="1" applyBorder="1" applyAlignment="1">
      <alignment horizontal="justify" vertical="center" wrapText="1"/>
    </xf>
    <xf numFmtId="0" fontId="26" fillId="0" borderId="68" xfId="0" applyFont="1" applyBorder="1" applyAlignment="1">
      <alignment horizontal="justify" vertical="center" wrapText="1"/>
    </xf>
    <xf numFmtId="0" fontId="26" fillId="0" borderId="40" xfId="0" applyFont="1" applyBorder="1" applyAlignment="1">
      <alignment horizontal="justify" vertical="center" wrapText="1"/>
    </xf>
    <xf numFmtId="0" fontId="26" fillId="0" borderId="41" xfId="0" applyFont="1" applyBorder="1" applyAlignment="1">
      <alignment horizontal="justify" vertical="center" wrapText="1"/>
    </xf>
    <xf numFmtId="0" fontId="26" fillId="0" borderId="25" xfId="0" applyFont="1" applyBorder="1" applyAlignment="1">
      <alignment horizontal="justify" vertical="center" wrapText="1"/>
    </xf>
    <xf numFmtId="0" fontId="26" fillId="0" borderId="27" xfId="0" applyFont="1" applyBorder="1" applyAlignment="1">
      <alignment horizontal="justify" vertical="center" wrapText="1"/>
    </xf>
    <xf numFmtId="0" fontId="26" fillId="0" borderId="43" xfId="0" applyFont="1" applyBorder="1" applyAlignment="1">
      <alignment horizontal="center" vertical="center" wrapText="1"/>
    </xf>
    <xf numFmtId="0" fontId="26" fillId="0" borderId="34" xfId="0" applyFont="1" applyBorder="1" applyAlignment="1">
      <alignment horizontal="center" vertical="center" wrapText="1"/>
    </xf>
    <xf numFmtId="0" fontId="26" fillId="0" borderId="33" xfId="0" applyFont="1" applyBorder="1" applyAlignment="1">
      <alignment horizontal="center" vertical="center" wrapText="1"/>
    </xf>
    <xf numFmtId="0" fontId="25" fillId="9" borderId="43" xfId="0" applyFont="1" applyFill="1" applyBorder="1" applyAlignment="1">
      <alignment vertical="center" wrapText="1"/>
    </xf>
    <xf numFmtId="0" fontId="25" fillId="9" borderId="33" xfId="0" applyFont="1" applyFill="1" applyBorder="1" applyAlignment="1">
      <alignment vertical="center" wrapText="1"/>
    </xf>
    <xf numFmtId="0" fontId="25" fillId="0" borderId="23" xfId="0" applyFont="1" applyBorder="1" applyAlignment="1">
      <alignment horizontal="justify" vertical="center" wrapText="1"/>
    </xf>
    <xf numFmtId="0" fontId="25" fillId="0" borderId="24" xfId="0" applyFont="1" applyBorder="1" applyAlignment="1">
      <alignment horizontal="justify" vertical="center" wrapText="1"/>
    </xf>
    <xf numFmtId="0" fontId="25" fillId="0" borderId="25" xfId="0" applyFont="1" applyBorder="1" applyAlignment="1">
      <alignment horizontal="justify" vertical="center" wrapText="1"/>
    </xf>
    <xf numFmtId="0" fontId="25" fillId="0" borderId="26" xfId="0" applyFont="1" applyBorder="1" applyAlignment="1">
      <alignment horizontal="justify" vertical="center" wrapText="1"/>
    </xf>
    <xf numFmtId="0" fontId="25" fillId="0" borderId="27" xfId="0" applyFont="1" applyBorder="1" applyAlignment="1">
      <alignment horizontal="justify" vertical="center" wrapText="1"/>
    </xf>
    <xf numFmtId="0" fontId="25" fillId="0" borderId="28" xfId="0" applyFont="1" applyBorder="1" applyAlignment="1">
      <alignment horizontal="justify" vertical="center" wrapText="1"/>
    </xf>
    <xf numFmtId="0" fontId="25" fillId="2" borderId="43" xfId="0" applyFont="1" applyFill="1" applyBorder="1" applyAlignment="1">
      <alignment vertical="center" wrapText="1"/>
    </xf>
    <xf numFmtId="0" fontId="25" fillId="2" borderId="33" xfId="0" applyFont="1" applyFill="1" applyBorder="1" applyAlignment="1">
      <alignment vertical="center" wrapText="1"/>
    </xf>
    <xf numFmtId="0" fontId="68" fillId="2" borderId="43" xfId="0" applyFont="1" applyFill="1" applyBorder="1" applyAlignment="1">
      <alignment vertical="center" wrapText="1"/>
    </xf>
    <xf numFmtId="0" fontId="68" fillId="2" borderId="33" xfId="0" applyFont="1" applyFill="1" applyBorder="1" applyAlignment="1">
      <alignment vertical="center" wrapText="1"/>
    </xf>
    <xf numFmtId="0" fontId="25" fillId="2" borderId="32" xfId="0" applyFont="1" applyFill="1" applyBorder="1" applyAlignment="1">
      <alignment horizontal="justify" vertical="center" wrapText="1"/>
    </xf>
    <xf numFmtId="0" fontId="25" fillId="2" borderId="33" xfId="0" applyFont="1" applyFill="1" applyBorder="1" applyAlignment="1">
      <alignment horizontal="justify" vertical="center" wrapText="1"/>
    </xf>
    <xf numFmtId="0" fontId="25" fillId="0" borderId="35" xfId="0" applyFont="1" applyBorder="1" applyAlignment="1">
      <alignment horizontal="justify" vertical="center" wrapText="1"/>
    </xf>
    <xf numFmtId="0" fontId="25" fillId="0" borderId="44" xfId="0" applyFont="1" applyBorder="1" applyAlignment="1">
      <alignment horizontal="justify" vertical="center" wrapText="1"/>
    </xf>
    <xf numFmtId="0" fontId="25" fillId="0" borderId="0" xfId="0" applyFont="1" applyBorder="1" applyAlignment="1">
      <alignment horizontal="justify" vertical="center" wrapText="1"/>
    </xf>
    <xf numFmtId="0" fontId="25" fillId="0" borderId="21" xfId="0" applyFont="1" applyBorder="1" applyAlignment="1">
      <alignment horizontal="justify" vertical="center" wrapText="1"/>
    </xf>
    <xf numFmtId="0" fontId="25" fillId="0" borderId="36" xfId="0" applyFont="1" applyBorder="1" applyAlignment="1">
      <alignment horizontal="justify" vertical="center" wrapText="1"/>
    </xf>
    <xf numFmtId="0" fontId="25" fillId="0" borderId="45" xfId="0" applyFont="1" applyBorder="1" applyAlignment="1">
      <alignment horizontal="justify" vertical="center" wrapText="1"/>
    </xf>
    <xf numFmtId="0" fontId="25" fillId="0" borderId="29" xfId="0" applyFont="1" applyBorder="1" applyAlignment="1">
      <alignment horizontal="justify" vertical="center" wrapText="1"/>
    </xf>
    <xf numFmtId="0" fontId="25" fillId="0" borderId="31" xfId="0" applyFont="1" applyBorder="1" applyAlignment="1">
      <alignment horizontal="justify" vertical="center" wrapText="1"/>
    </xf>
    <xf numFmtId="0" fontId="25" fillId="9" borderId="43" xfId="0" applyFont="1" applyFill="1" applyBorder="1" applyAlignment="1">
      <alignment horizontal="justify" vertical="center" wrapText="1"/>
    </xf>
    <xf numFmtId="0" fontId="25" fillId="9" borderId="33" xfId="0" applyFont="1" applyFill="1" applyBorder="1" applyAlignment="1">
      <alignment horizontal="justify" vertical="center" wrapText="1"/>
    </xf>
    <xf numFmtId="0" fontId="25" fillId="2" borderId="29" xfId="0" applyFont="1" applyFill="1" applyBorder="1" applyAlignment="1">
      <alignment horizontal="justify" vertical="center" wrapText="1"/>
    </xf>
    <xf numFmtId="0" fontId="25" fillId="2" borderId="31" xfId="0" applyFont="1" applyFill="1" applyBorder="1" applyAlignment="1">
      <alignment horizontal="justify" vertical="center" wrapText="1"/>
    </xf>
    <xf numFmtId="0" fontId="25" fillId="0" borderId="46" xfId="0" applyFont="1" applyBorder="1" applyAlignment="1">
      <alignment vertical="center" wrapText="1"/>
    </xf>
    <xf numFmtId="0" fontId="25" fillId="0" borderId="47" xfId="0" applyFont="1" applyBorder="1" applyAlignment="1">
      <alignment vertical="center" wrapText="1"/>
    </xf>
    <xf numFmtId="0" fontId="25" fillId="0" borderId="48" xfId="0" applyFont="1" applyBorder="1" applyAlignment="1">
      <alignment vertical="center" wrapText="1"/>
    </xf>
    <xf numFmtId="0" fontId="25" fillId="0" borderId="43" xfId="0" applyFont="1" applyBorder="1" applyAlignment="1">
      <alignment vertical="center" wrapText="1"/>
    </xf>
    <xf numFmtId="0" fontId="25" fillId="0" borderId="33" xfId="0" applyFont="1" applyBorder="1" applyAlignment="1">
      <alignment vertical="center" wrapText="1"/>
    </xf>
    <xf numFmtId="0" fontId="25" fillId="0" borderId="30" xfId="0" applyFont="1" applyBorder="1" applyAlignment="1">
      <alignment horizontal="justify" vertical="center" wrapText="1"/>
    </xf>
    <xf numFmtId="0" fontId="25" fillId="0" borderId="49" xfId="0" applyFont="1" applyBorder="1" applyAlignment="1">
      <alignment horizontal="justify" vertical="center" wrapText="1"/>
    </xf>
    <xf numFmtId="0" fontId="25" fillId="0" borderId="43" xfId="0" applyFont="1" applyBorder="1" applyAlignment="1">
      <alignment horizontal="justify" vertical="center" wrapText="1"/>
    </xf>
    <xf numFmtId="0" fontId="25" fillId="0" borderId="33" xfId="0" applyFont="1" applyBorder="1" applyAlignment="1">
      <alignment horizontal="justify" vertical="center" wrapText="1"/>
    </xf>
    <xf numFmtId="0" fontId="56" fillId="10" borderId="43" xfId="0" applyFont="1" applyFill="1" applyBorder="1" applyAlignment="1">
      <alignment vertical="center" wrapText="1"/>
    </xf>
    <xf numFmtId="0" fontId="56" fillId="10" borderId="33" xfId="0" applyFont="1" applyFill="1" applyBorder="1" applyAlignment="1">
      <alignment vertical="center" wrapText="1"/>
    </xf>
    <xf numFmtId="0" fontId="13" fillId="0" borderId="8" xfId="0" applyFont="1" applyFill="1" applyBorder="1" applyAlignment="1">
      <alignment horizontal="center" vertical="top" wrapText="1"/>
    </xf>
    <xf numFmtId="0" fontId="13" fillId="0" borderId="9" xfId="0" applyFont="1" applyFill="1" applyBorder="1" applyAlignment="1">
      <alignment horizontal="center" vertical="top" wrapText="1"/>
    </xf>
    <xf numFmtId="0" fontId="13" fillId="0" borderId="10" xfId="0" applyFont="1" applyFill="1" applyBorder="1" applyAlignment="1">
      <alignment horizontal="center" vertical="top" wrapText="1"/>
    </xf>
    <xf numFmtId="0" fontId="13" fillId="0" borderId="8" xfId="0" applyFont="1" applyFill="1" applyBorder="1" applyAlignment="1">
      <alignment horizontal="left" vertical="top" wrapText="1"/>
    </xf>
    <xf numFmtId="0" fontId="13" fillId="0" borderId="10" xfId="0" applyFont="1" applyFill="1" applyBorder="1" applyAlignment="1">
      <alignment horizontal="left" vertical="top" wrapText="1"/>
    </xf>
    <xf numFmtId="4" fontId="15" fillId="0" borderId="20" xfId="0" applyNumberFormat="1" applyFont="1" applyFill="1" applyBorder="1" applyAlignment="1">
      <alignment horizontal="left" vertical="top" indent="3" shrinkToFit="1"/>
    </xf>
    <xf numFmtId="4" fontId="15" fillId="0" borderId="21" xfId="0" applyNumberFormat="1" applyFont="1" applyFill="1" applyBorder="1" applyAlignment="1">
      <alignment horizontal="left" vertical="top" indent="3" shrinkToFit="1"/>
    </xf>
    <xf numFmtId="2" fontId="15" fillId="0" borderId="20" xfId="0" applyNumberFormat="1" applyFont="1" applyFill="1" applyBorder="1" applyAlignment="1">
      <alignment horizontal="center" vertical="top" shrinkToFit="1"/>
    </xf>
    <xf numFmtId="2" fontId="15" fillId="0" borderId="21" xfId="0" applyNumberFormat="1" applyFont="1" applyFill="1" applyBorder="1" applyAlignment="1">
      <alignment horizontal="center" vertical="top" shrinkToFit="1"/>
    </xf>
    <xf numFmtId="0" fontId="13" fillId="7" borderId="13" xfId="0" applyFont="1" applyFill="1" applyBorder="1" applyAlignment="1">
      <alignment horizontal="left" vertical="top" wrapText="1"/>
    </xf>
    <xf numFmtId="0" fontId="13" fillId="7" borderId="14" xfId="0" applyFont="1" applyFill="1" applyBorder="1" applyAlignment="1">
      <alignment horizontal="left" vertical="top" wrapText="1"/>
    </xf>
    <xf numFmtId="0" fontId="13" fillId="7" borderId="15" xfId="0" applyFont="1" applyFill="1" applyBorder="1" applyAlignment="1">
      <alignment horizontal="left" vertical="top" wrapText="1"/>
    </xf>
    <xf numFmtId="0" fontId="0" fillId="7" borderId="13" xfId="0" applyFill="1" applyBorder="1" applyAlignment="1">
      <alignment horizontal="left" wrapText="1"/>
    </xf>
    <xf numFmtId="0" fontId="0" fillId="7" borderId="15" xfId="0" applyFill="1" applyBorder="1" applyAlignment="1">
      <alignment horizontal="left" wrapText="1"/>
    </xf>
    <xf numFmtId="0" fontId="13" fillId="2" borderId="2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21" xfId="0" applyFont="1" applyFill="1" applyBorder="1" applyAlignment="1">
      <alignment horizontal="left" vertical="top" wrapText="1"/>
    </xf>
    <xf numFmtId="2" fontId="15" fillId="2" borderId="20" xfId="0" applyNumberFormat="1" applyFont="1" applyFill="1" applyBorder="1" applyAlignment="1">
      <alignment horizontal="left" vertical="top" indent="4" shrinkToFit="1"/>
    </xf>
    <xf numFmtId="2" fontId="15" fillId="2" borderId="21" xfId="0" applyNumberFormat="1" applyFont="1" applyFill="1" applyBorder="1" applyAlignment="1">
      <alignment horizontal="left" vertical="top" indent="4" shrinkToFit="1"/>
    </xf>
    <xf numFmtId="0" fontId="13" fillId="11" borderId="20" xfId="0" applyFont="1" applyFill="1" applyBorder="1" applyAlignment="1">
      <alignment horizontal="left" vertical="top" wrapText="1"/>
    </xf>
    <xf numFmtId="0" fontId="13" fillId="11" borderId="0" xfId="0" applyFont="1" applyFill="1" applyBorder="1" applyAlignment="1">
      <alignment horizontal="left" vertical="top" wrapText="1"/>
    </xf>
    <xf numFmtId="0" fontId="13" fillId="11" borderId="21" xfId="0" applyFont="1" applyFill="1" applyBorder="1" applyAlignment="1">
      <alignment horizontal="left" vertical="top" wrapText="1"/>
    </xf>
    <xf numFmtId="4" fontId="37" fillId="7" borderId="20" xfId="0" applyNumberFormat="1" applyFont="1" applyFill="1" applyBorder="1" applyAlignment="1">
      <alignment horizontal="left" vertical="top" indent="3" shrinkToFit="1"/>
    </xf>
    <xf numFmtId="4" fontId="37" fillId="7" borderId="21" xfId="0" applyNumberFormat="1" applyFont="1" applyFill="1" applyBorder="1" applyAlignment="1">
      <alignment horizontal="left" vertical="top" indent="3" shrinkToFit="1"/>
    </xf>
    <xf numFmtId="4" fontId="15" fillId="7" borderId="20" xfId="0" applyNumberFormat="1" applyFont="1" applyFill="1" applyBorder="1" applyAlignment="1">
      <alignment horizontal="left" vertical="top" indent="3" shrinkToFit="1"/>
    </xf>
    <xf numFmtId="4" fontId="15" fillId="7" borderId="21" xfId="0" applyNumberFormat="1" applyFont="1" applyFill="1" applyBorder="1" applyAlignment="1">
      <alignment horizontal="left" vertical="top" indent="3" shrinkToFit="1"/>
    </xf>
    <xf numFmtId="0" fontId="13" fillId="0" borderId="20"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21" xfId="0" applyFont="1" applyFill="1" applyBorder="1" applyAlignment="1">
      <alignment horizontal="left" vertical="top" wrapText="1"/>
    </xf>
    <xf numFmtId="0" fontId="0" fillId="7" borderId="20" xfId="0" applyFill="1" applyBorder="1" applyAlignment="1">
      <alignment horizontal="left" wrapText="1"/>
    </xf>
    <xf numFmtId="0" fontId="0" fillId="7" borderId="21" xfId="0" applyFill="1" applyBorder="1" applyAlignment="1">
      <alignment horizontal="left" wrapText="1"/>
    </xf>
    <xf numFmtId="2" fontId="15" fillId="0" borderId="20" xfId="0" applyNumberFormat="1" applyFont="1" applyFill="1" applyBorder="1" applyAlignment="1">
      <alignment horizontal="left" vertical="top" indent="4" shrinkToFit="1"/>
    </xf>
    <xf numFmtId="2" fontId="15" fillId="0" borderId="21" xfId="0" applyNumberFormat="1" applyFont="1" applyFill="1" applyBorder="1" applyAlignment="1">
      <alignment horizontal="left" vertical="top" indent="4" shrinkToFit="1"/>
    </xf>
    <xf numFmtId="2" fontId="15" fillId="2" borderId="20" xfId="0" applyNumberFormat="1" applyFont="1" applyFill="1" applyBorder="1" applyAlignment="1">
      <alignment horizontal="right" vertical="top" shrinkToFit="1"/>
    </xf>
    <xf numFmtId="2" fontId="15" fillId="2" borderId="21" xfId="0" applyNumberFormat="1" applyFont="1" applyFill="1" applyBorder="1" applyAlignment="1">
      <alignment horizontal="right" vertical="top" shrinkToFit="1"/>
    </xf>
    <xf numFmtId="0" fontId="0" fillId="0" borderId="20" xfId="0" applyFill="1" applyBorder="1" applyAlignment="1">
      <alignment horizontal="left" wrapText="1"/>
    </xf>
    <xf numFmtId="0" fontId="0" fillId="0" borderId="21" xfId="0" applyFill="1" applyBorder="1" applyAlignment="1">
      <alignment horizontal="left" wrapText="1"/>
    </xf>
    <xf numFmtId="2" fontId="15" fillId="0" borderId="8" xfId="0" applyNumberFormat="1" applyFont="1" applyFill="1" applyBorder="1" applyAlignment="1">
      <alignment horizontal="left" vertical="top" indent="4" shrinkToFit="1"/>
    </xf>
    <xf numFmtId="2" fontId="15" fillId="0" borderId="10" xfId="0" applyNumberFormat="1" applyFont="1" applyFill="1" applyBorder="1" applyAlignment="1">
      <alignment horizontal="left" vertical="top" indent="4" shrinkToFit="1"/>
    </xf>
    <xf numFmtId="0" fontId="14" fillId="2" borderId="20" xfId="0" applyFont="1" applyFill="1" applyBorder="1" applyAlignment="1">
      <alignment horizontal="left" vertical="top" wrapText="1"/>
    </xf>
    <xf numFmtId="0" fontId="13" fillId="7" borderId="20"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21" xfId="0" applyFont="1" applyFill="1" applyBorder="1" applyAlignment="1">
      <alignment horizontal="left" vertical="top" wrapText="1"/>
    </xf>
    <xf numFmtId="2" fontId="15" fillId="7" borderId="20" xfId="0" applyNumberFormat="1" applyFont="1" applyFill="1" applyBorder="1" applyAlignment="1">
      <alignment horizontal="left" vertical="top" indent="3" shrinkToFit="1"/>
    </xf>
    <xf numFmtId="2" fontId="15" fillId="7" borderId="21" xfId="0" applyNumberFormat="1" applyFont="1" applyFill="1" applyBorder="1" applyAlignment="1">
      <alignment horizontal="left" vertical="top" indent="3" shrinkToFit="1"/>
    </xf>
    <xf numFmtId="0" fontId="16" fillId="7" borderId="16" xfId="0" applyFont="1" applyFill="1" applyBorder="1" applyAlignment="1">
      <alignment horizontal="left" vertical="top" wrapText="1"/>
    </xf>
    <xf numFmtId="0" fontId="16" fillId="7" borderId="17" xfId="0" applyFont="1" applyFill="1" applyBorder="1" applyAlignment="1">
      <alignment horizontal="left" vertical="top" wrapText="1"/>
    </xf>
    <xf numFmtId="0" fontId="16" fillId="7" borderId="18" xfId="0" applyFont="1" applyFill="1" applyBorder="1" applyAlignment="1">
      <alignment horizontal="left" vertical="top" wrapText="1"/>
    </xf>
    <xf numFmtId="0" fontId="0" fillId="7" borderId="16" xfId="0" applyFill="1" applyBorder="1" applyAlignment="1">
      <alignment horizontal="left" wrapText="1"/>
    </xf>
    <xf numFmtId="0" fontId="0" fillId="7" borderId="18" xfId="0" applyFill="1" applyBorder="1" applyAlignment="1">
      <alignment horizontal="left" wrapText="1"/>
    </xf>
    <xf numFmtId="0" fontId="1" fillId="0" borderId="0" xfId="0" applyFont="1" applyFill="1" applyBorder="1" applyAlignment="1">
      <alignment vertical="center"/>
    </xf>
    <xf numFmtId="0" fontId="35" fillId="0" borderId="20" xfId="0" applyFont="1" applyFill="1" applyBorder="1" applyAlignment="1">
      <alignment horizontal="left" vertical="center"/>
    </xf>
    <xf numFmtId="4" fontId="54" fillId="11" borderId="20" xfId="0" applyNumberFormat="1" applyFont="1" applyFill="1" applyBorder="1" applyAlignment="1">
      <alignment horizontal="center" vertical="top" shrinkToFit="1"/>
    </xf>
    <xf numFmtId="4" fontId="54" fillId="11" borderId="21" xfId="0" applyNumberFormat="1" applyFont="1" applyFill="1" applyBorder="1" applyAlignment="1">
      <alignment horizontal="center" vertical="top" shrinkToFit="1"/>
    </xf>
    <xf numFmtId="2" fontId="15" fillId="7" borderId="20" xfId="0" applyNumberFormat="1" applyFont="1" applyFill="1" applyBorder="1" applyAlignment="1">
      <alignment horizontal="left" vertical="top" indent="4" shrinkToFit="1"/>
    </xf>
    <xf numFmtId="2" fontId="15" fillId="7" borderId="21" xfId="0" applyNumberFormat="1" applyFont="1" applyFill="1" applyBorder="1" applyAlignment="1">
      <alignment horizontal="left" vertical="top" indent="4" shrinkToFit="1"/>
    </xf>
    <xf numFmtId="4" fontId="54" fillId="11" borderId="20" xfId="0" applyNumberFormat="1" applyFont="1" applyFill="1" applyBorder="1" applyAlignment="1">
      <alignment horizontal="left" vertical="top" indent="3" shrinkToFit="1"/>
    </xf>
    <xf numFmtId="4" fontId="54" fillId="11" borderId="21" xfId="0" applyNumberFormat="1" applyFont="1" applyFill="1" applyBorder="1" applyAlignment="1">
      <alignment horizontal="left" vertical="top" indent="3" shrinkToFit="1"/>
    </xf>
    <xf numFmtId="4" fontId="15" fillId="2" borderId="20" xfId="0" applyNumberFormat="1" applyFont="1" applyFill="1" applyBorder="1" applyAlignment="1">
      <alignment horizontal="left" vertical="top" indent="3" shrinkToFit="1"/>
    </xf>
    <xf numFmtId="4" fontId="15" fillId="2" borderId="21" xfId="0" applyNumberFormat="1" applyFont="1" applyFill="1" applyBorder="1" applyAlignment="1">
      <alignment horizontal="left" vertical="top" indent="3" shrinkToFit="1"/>
    </xf>
    <xf numFmtId="0" fontId="13" fillId="0" borderId="16" xfId="0" applyFont="1" applyFill="1" applyBorder="1" applyAlignment="1">
      <alignment horizontal="left" vertical="top" wrapText="1"/>
    </xf>
    <xf numFmtId="0" fontId="13" fillId="0" borderId="18" xfId="0" applyFont="1" applyFill="1" applyBorder="1" applyAlignment="1">
      <alignment horizontal="left" vertical="top" wrapText="1"/>
    </xf>
    <xf numFmtId="2" fontId="15" fillId="0" borderId="16" xfId="0" applyNumberFormat="1" applyFont="1" applyFill="1" applyBorder="1" applyAlignment="1">
      <alignment horizontal="left" vertical="top" indent="4" shrinkToFit="1"/>
    </xf>
    <xf numFmtId="2" fontId="15" fillId="0" borderId="18" xfId="0" applyNumberFormat="1" applyFont="1" applyFill="1" applyBorder="1" applyAlignment="1">
      <alignment horizontal="left" vertical="top" indent="4" shrinkToFit="1"/>
    </xf>
    <xf numFmtId="0" fontId="13" fillId="0" borderId="17" xfId="0" applyFont="1" applyFill="1" applyBorder="1" applyAlignment="1">
      <alignment horizontal="left" vertical="top" wrapText="1"/>
    </xf>
    <xf numFmtId="2" fontId="15" fillId="0" borderId="16" xfId="0" applyNumberFormat="1" applyFont="1" applyFill="1" applyBorder="1" applyAlignment="1">
      <alignment horizontal="right" vertical="top" shrinkToFit="1"/>
    </xf>
    <xf numFmtId="2" fontId="15" fillId="0" borderId="18" xfId="0" applyNumberFormat="1" applyFont="1" applyFill="1" applyBorder="1" applyAlignment="1">
      <alignment horizontal="right" vertical="top" shrinkToFit="1"/>
    </xf>
    <xf numFmtId="0" fontId="19" fillId="5" borderId="8" xfId="0" applyFont="1" applyFill="1" applyBorder="1" applyAlignment="1">
      <alignment horizontal="left" vertical="top" wrapText="1" indent="2"/>
    </xf>
    <xf numFmtId="0" fontId="19" fillId="5" borderId="10" xfId="0" applyFont="1" applyFill="1" applyBorder="1" applyAlignment="1">
      <alignment horizontal="left" vertical="top" wrapText="1" indent="2"/>
    </xf>
    <xf numFmtId="0" fontId="13" fillId="0" borderId="13" xfId="0" applyFont="1" applyFill="1" applyBorder="1" applyAlignment="1">
      <alignment horizontal="left" vertical="top" wrapText="1"/>
    </xf>
    <xf numFmtId="0" fontId="13" fillId="0" borderId="15" xfId="0" applyFont="1" applyFill="1" applyBorder="1" applyAlignment="1">
      <alignment horizontal="left" vertical="top" wrapText="1"/>
    </xf>
    <xf numFmtId="4" fontId="15" fillId="0" borderId="13" xfId="0" applyNumberFormat="1" applyFont="1" applyFill="1" applyBorder="1" applyAlignment="1">
      <alignment horizontal="left" vertical="top" indent="4" shrinkToFit="1"/>
    </xf>
    <xf numFmtId="4" fontId="15" fillId="0" borderId="15" xfId="0" applyNumberFormat="1" applyFont="1" applyFill="1" applyBorder="1" applyAlignment="1">
      <alignment horizontal="left" vertical="top" indent="4" shrinkToFit="1"/>
    </xf>
    <xf numFmtId="0" fontId="13" fillId="0" borderId="14" xfId="0" applyFont="1" applyFill="1" applyBorder="1" applyAlignment="1">
      <alignment horizontal="left" vertical="top" wrapText="1"/>
    </xf>
    <xf numFmtId="4" fontId="15" fillId="0" borderId="13" xfId="0" applyNumberFormat="1" applyFont="1" applyFill="1" applyBorder="1" applyAlignment="1">
      <alignment horizontal="left" vertical="top" indent="3" shrinkToFit="1"/>
    </xf>
    <xf numFmtId="4" fontId="15" fillId="0" borderId="15" xfId="0" applyNumberFormat="1" applyFont="1" applyFill="1" applyBorder="1" applyAlignment="1">
      <alignment horizontal="left" vertical="top" indent="3" shrinkToFit="1"/>
    </xf>
    <xf numFmtId="0" fontId="13" fillId="8" borderId="20" xfId="0" applyFont="1" applyFill="1" applyBorder="1" applyAlignment="1">
      <alignment horizontal="left" vertical="top" wrapText="1"/>
    </xf>
    <xf numFmtId="0" fontId="13" fillId="8" borderId="21" xfId="0" applyFont="1" applyFill="1" applyBorder="1" applyAlignment="1">
      <alignment horizontal="left" vertical="top" wrapText="1"/>
    </xf>
    <xf numFmtId="4" fontId="15" fillId="8" borderId="20" xfId="0" applyNumberFormat="1" applyFont="1" applyFill="1" applyBorder="1" applyAlignment="1">
      <alignment horizontal="left" vertical="top" indent="4" shrinkToFit="1"/>
    </xf>
    <xf numFmtId="4" fontId="15" fillId="8" borderId="21" xfId="0" applyNumberFormat="1" applyFont="1" applyFill="1" applyBorder="1" applyAlignment="1">
      <alignment horizontal="left" vertical="top" indent="4" shrinkToFit="1"/>
    </xf>
    <xf numFmtId="0" fontId="13" fillId="8" borderId="0" xfId="0" applyFont="1" applyFill="1" applyBorder="1" applyAlignment="1">
      <alignment horizontal="left" vertical="top" wrapText="1"/>
    </xf>
    <xf numFmtId="2" fontId="15" fillId="8" borderId="20" xfId="0" applyNumberFormat="1" applyFont="1" applyFill="1" applyBorder="1" applyAlignment="1">
      <alignment horizontal="left" vertical="top" indent="4" shrinkToFit="1"/>
    </xf>
    <xf numFmtId="2" fontId="15" fillId="8" borderId="21" xfId="0" applyNumberFormat="1" applyFont="1" applyFill="1" applyBorder="1" applyAlignment="1">
      <alignment horizontal="left" vertical="top" indent="4" shrinkToFit="1"/>
    </xf>
    <xf numFmtId="0" fontId="13" fillId="0" borderId="9" xfId="0" applyFont="1" applyFill="1" applyBorder="1" applyAlignment="1">
      <alignment horizontal="left" vertical="top" wrapText="1"/>
    </xf>
    <xf numFmtId="4" fontId="15" fillId="0" borderId="8" xfId="0" applyNumberFormat="1" applyFont="1" applyFill="1" applyBorder="1" applyAlignment="1">
      <alignment horizontal="left" vertical="top" indent="3" shrinkToFit="1"/>
    </xf>
    <xf numFmtId="4" fontId="15" fillId="0" borderId="10" xfId="0" applyNumberFormat="1" applyFont="1" applyFill="1" applyBorder="1" applyAlignment="1">
      <alignment horizontal="left" vertical="top" indent="3" shrinkToFit="1"/>
    </xf>
    <xf numFmtId="0" fontId="19" fillId="7" borderId="8" xfId="0" applyFont="1" applyFill="1" applyBorder="1" applyAlignment="1">
      <alignment horizontal="center" vertical="top" wrapText="1"/>
    </xf>
    <xf numFmtId="0" fontId="19" fillId="7" borderId="9" xfId="0" applyFont="1" applyFill="1" applyBorder="1" applyAlignment="1">
      <alignment horizontal="center" vertical="top" wrapText="1"/>
    </xf>
    <xf numFmtId="0" fontId="19" fillId="7" borderId="10" xfId="0" applyFont="1" applyFill="1" applyBorder="1" applyAlignment="1">
      <alignment horizontal="center" vertical="top" wrapText="1"/>
    </xf>
    <xf numFmtId="0" fontId="19" fillId="5" borderId="8" xfId="0" applyFont="1" applyFill="1" applyBorder="1" applyAlignment="1">
      <alignment horizontal="center" vertical="top" wrapText="1"/>
    </xf>
    <xf numFmtId="0" fontId="19" fillId="5" borderId="10" xfId="0" applyFont="1" applyFill="1" applyBorder="1" applyAlignment="1">
      <alignment horizontal="center" vertical="top" wrapText="1"/>
    </xf>
    <xf numFmtId="0" fontId="19" fillId="5" borderId="9" xfId="0" applyFont="1" applyFill="1" applyBorder="1" applyAlignment="1">
      <alignment horizontal="center" vertical="top" wrapText="1"/>
    </xf>
    <xf numFmtId="0" fontId="85" fillId="7" borderId="16" xfId="0" applyFont="1" applyFill="1" applyBorder="1" applyAlignment="1">
      <alignment horizontal="left" vertical="top" wrapText="1"/>
    </xf>
    <xf numFmtId="0" fontId="85" fillId="7" borderId="17" xfId="0" applyFont="1" applyFill="1" applyBorder="1" applyAlignment="1">
      <alignment horizontal="left" vertical="top" wrapText="1"/>
    </xf>
    <xf numFmtId="0" fontId="85" fillId="7" borderId="18" xfId="0" applyFont="1" applyFill="1" applyBorder="1" applyAlignment="1">
      <alignment horizontal="left" vertical="top" wrapText="1"/>
    </xf>
    <xf numFmtId="0" fontId="18" fillId="5" borderId="8" xfId="0" applyFont="1" applyFill="1" applyBorder="1" applyAlignment="1">
      <alignment horizontal="left" vertical="top" wrapText="1" indent="7"/>
    </xf>
    <xf numFmtId="0" fontId="18" fillId="5" borderId="9" xfId="0" applyFont="1" applyFill="1" applyBorder="1" applyAlignment="1">
      <alignment horizontal="left" vertical="top" wrapText="1" indent="7"/>
    </xf>
    <xf numFmtId="0" fontId="18" fillId="5" borderId="10" xfId="0" applyFont="1" applyFill="1" applyBorder="1" applyAlignment="1">
      <alignment horizontal="left" vertical="top" wrapText="1" indent="7"/>
    </xf>
    <xf numFmtId="0" fontId="19" fillId="5" borderId="9" xfId="0" applyFont="1" applyFill="1" applyBorder="1" applyAlignment="1">
      <alignment horizontal="left" vertical="top" wrapText="1" indent="2"/>
    </xf>
    <xf numFmtId="0" fontId="84" fillId="7" borderId="20" xfId="0" applyFont="1" applyFill="1" applyBorder="1" applyAlignment="1">
      <alignment horizontal="left" vertical="top" wrapText="1"/>
    </xf>
    <xf numFmtId="0" fontId="84" fillId="7" borderId="0" xfId="0" applyFont="1" applyFill="1" applyBorder="1" applyAlignment="1">
      <alignment horizontal="left" vertical="top" wrapText="1"/>
    </xf>
    <xf numFmtId="0" fontId="84" fillId="7" borderId="21" xfId="0" applyFont="1" applyFill="1" applyBorder="1" applyAlignment="1">
      <alignment horizontal="left" vertical="top" wrapText="1"/>
    </xf>
    <xf numFmtId="0" fontId="84" fillId="0" borderId="20" xfId="0" applyFont="1" applyFill="1" applyBorder="1" applyAlignment="1">
      <alignment horizontal="left" vertical="top" wrapText="1"/>
    </xf>
    <xf numFmtId="0" fontId="84" fillId="0" borderId="0" xfId="0" applyFont="1" applyFill="1" applyBorder="1" applyAlignment="1">
      <alignment horizontal="left" vertical="top" wrapText="1"/>
    </xf>
    <xf numFmtId="0" fontId="84" fillId="0" borderId="21" xfId="0" applyFont="1" applyFill="1" applyBorder="1" applyAlignment="1">
      <alignment horizontal="left" vertical="top" wrapText="1"/>
    </xf>
    <xf numFmtId="2" fontId="15" fillId="7" borderId="20" xfId="0" applyNumberFormat="1" applyFont="1" applyFill="1" applyBorder="1" applyAlignment="1">
      <alignment horizontal="right" vertical="top" shrinkToFit="1"/>
    </xf>
    <xf numFmtId="2" fontId="15" fillId="7" borderId="21" xfId="0" applyNumberFormat="1" applyFont="1" applyFill="1" applyBorder="1" applyAlignment="1">
      <alignment horizontal="right" vertical="top" shrinkToFit="1"/>
    </xf>
    <xf numFmtId="2" fontId="15" fillId="0" borderId="20" xfId="0" applyNumberFormat="1" applyFont="1" applyFill="1" applyBorder="1" applyAlignment="1">
      <alignment horizontal="right" vertical="top" shrinkToFit="1"/>
    </xf>
    <xf numFmtId="2" fontId="15" fillId="0" borderId="21" xfId="0" applyNumberFormat="1" applyFont="1" applyFill="1" applyBorder="1" applyAlignment="1">
      <alignment horizontal="right" vertical="top" shrinkToFit="1"/>
    </xf>
    <xf numFmtId="2" fontId="17" fillId="0" borderId="20" xfId="0" applyNumberFormat="1" applyFont="1" applyFill="1" applyBorder="1" applyAlignment="1">
      <alignment horizontal="left" vertical="top" indent="4" shrinkToFit="1"/>
    </xf>
    <xf numFmtId="2" fontId="17" fillId="0" borderId="21" xfId="0" applyNumberFormat="1" applyFont="1" applyFill="1" applyBorder="1" applyAlignment="1">
      <alignment horizontal="left" vertical="top" indent="4" shrinkToFit="1"/>
    </xf>
    <xf numFmtId="0" fontId="13" fillId="6" borderId="8" xfId="0" applyFont="1" applyFill="1" applyBorder="1" applyAlignment="1">
      <alignment horizontal="center"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center" vertical="top" wrapText="1"/>
    </xf>
    <xf numFmtId="0" fontId="0" fillId="6" borderId="8" xfId="0" applyFill="1" applyBorder="1" applyAlignment="1">
      <alignment horizontal="left" wrapText="1"/>
    </xf>
    <xf numFmtId="0" fontId="0" fillId="6" borderId="10" xfId="0" applyFill="1" applyBorder="1" applyAlignment="1">
      <alignment horizontal="left" wrapText="1"/>
    </xf>
    <xf numFmtId="0" fontId="12" fillId="5" borderId="7" xfId="0" applyFont="1" applyFill="1" applyBorder="1" applyAlignment="1">
      <alignment horizontal="center" vertical="center" textRotation="90" wrapText="1"/>
    </xf>
    <xf numFmtId="0" fontId="12" fillId="5" borderId="12" xfId="0" applyFont="1" applyFill="1" applyBorder="1" applyAlignment="1">
      <alignment horizontal="center" vertical="center" textRotation="90" wrapText="1"/>
    </xf>
    <xf numFmtId="0" fontId="12" fillId="5" borderId="19" xfId="0" applyFont="1" applyFill="1" applyBorder="1" applyAlignment="1">
      <alignment horizontal="center" vertical="center" textRotation="90" wrapText="1"/>
    </xf>
    <xf numFmtId="0" fontId="12" fillId="5" borderId="7" xfId="0" applyFont="1" applyFill="1" applyBorder="1" applyAlignment="1">
      <alignment horizontal="left" textRotation="90" wrapText="1"/>
    </xf>
    <xf numFmtId="0" fontId="12" fillId="5" borderId="12" xfId="0" applyFont="1" applyFill="1" applyBorder="1" applyAlignment="1">
      <alignment horizontal="left" textRotation="90" wrapText="1"/>
    </xf>
    <xf numFmtId="0" fontId="12" fillId="5" borderId="19" xfId="0" applyFont="1" applyFill="1" applyBorder="1" applyAlignment="1">
      <alignment horizontal="left" textRotation="90" wrapText="1"/>
    </xf>
    <xf numFmtId="0" fontId="13" fillId="0" borderId="8" xfId="0" applyFont="1" applyFill="1" applyBorder="1" applyAlignment="1">
      <alignment horizontal="left" vertical="top" wrapText="1" indent="1"/>
    </xf>
    <xf numFmtId="0" fontId="13" fillId="0" borderId="10" xfId="0" applyFont="1" applyFill="1" applyBorder="1" applyAlignment="1">
      <alignment horizontal="left" vertical="top" wrapText="1" indent="1"/>
    </xf>
    <xf numFmtId="0" fontId="13" fillId="6" borderId="13" xfId="0" applyFont="1" applyFill="1" applyBorder="1" applyAlignment="1">
      <alignment horizontal="left" vertical="top" wrapText="1"/>
    </xf>
    <xf numFmtId="0" fontId="13" fillId="6" borderId="14" xfId="0" applyFont="1" applyFill="1" applyBorder="1" applyAlignment="1">
      <alignment horizontal="left" vertical="top" wrapText="1"/>
    </xf>
    <xf numFmtId="0" fontId="13" fillId="6" borderId="15" xfId="0" applyFont="1" applyFill="1" applyBorder="1" applyAlignment="1">
      <alignment horizontal="left" vertical="top" wrapText="1"/>
    </xf>
    <xf numFmtId="2" fontId="15" fillId="6" borderId="13" xfId="0" applyNumberFormat="1" applyFont="1" applyFill="1" applyBorder="1" applyAlignment="1">
      <alignment horizontal="left" vertical="top" indent="4" shrinkToFit="1"/>
    </xf>
    <xf numFmtId="2" fontId="15" fillId="6" borderId="15" xfId="0" applyNumberFormat="1" applyFont="1" applyFill="1" applyBorder="1" applyAlignment="1">
      <alignment horizontal="left" vertical="top" indent="4" shrinkToFit="1"/>
    </xf>
    <xf numFmtId="0" fontId="0" fillId="6" borderId="13" xfId="0" applyFill="1" applyBorder="1" applyAlignment="1">
      <alignment horizontal="left" wrapText="1"/>
    </xf>
    <xf numFmtId="0" fontId="0" fillId="6" borderId="15" xfId="0" applyFill="1" applyBorder="1" applyAlignment="1">
      <alignment horizontal="left"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18" xfId="0" applyFill="1" applyBorder="1" applyAlignment="1">
      <alignment horizontal="left" vertical="center" wrapText="1"/>
    </xf>
    <xf numFmtId="0" fontId="16" fillId="0" borderId="20"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21" xfId="0" applyFont="1" applyFill="1" applyBorder="1" applyAlignment="1">
      <alignment horizontal="left" vertical="top" wrapText="1"/>
    </xf>
  </cellXfs>
  <cellStyles count="9">
    <cellStyle name="40 % - Accent2" xfId="6" builtinId="35"/>
    <cellStyle name="40 % - Accent3" xfId="8" builtinId="39"/>
    <cellStyle name="Accent1" xfId="5" builtinId="29"/>
    <cellStyle name="Accent6" xfId="7" builtinId="49"/>
    <cellStyle name="Lien hypertexte" xfId="2" builtinId="8"/>
    <cellStyle name="Milliers" xfId="1" builtinId="3"/>
    <cellStyle name="Normal" xfId="0" builtinId="0"/>
    <cellStyle name="Note" xfId="4" builtinId="1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https://www.legisocial.fr/"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4</xdr:col>
      <xdr:colOff>336550</xdr:colOff>
      <xdr:row>10</xdr:row>
      <xdr:rowOff>133350</xdr:rowOff>
    </xdr:to>
    <xdr:pic>
      <xdr:nvPicPr>
        <xdr:cNvPr id="2" name="r-6872567" descr="Tableau récapitulatif calcul indemnité C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73050"/>
          <a:ext cx="5861050" cy="177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36</xdr:row>
      <xdr:rowOff>0</xdr:rowOff>
    </xdr:from>
    <xdr:ext cx="228600" cy="228600"/>
    <xdr:sp macro="" textlink="">
      <xdr:nvSpPr>
        <xdr:cNvPr id="28" name="AutoShape 1" descr="Abonnement LégiSocial"/>
        <xdr:cNvSpPr>
          <a:spLocks noChangeAspect="1" noChangeArrowheads="1"/>
        </xdr:cNvSpPr>
      </xdr:nvSpPr>
      <xdr:spPr bwMode="auto">
        <a:xfrm>
          <a:off x="0" y="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xdr:row>
      <xdr:rowOff>0</xdr:rowOff>
    </xdr:from>
    <xdr:ext cx="228600" cy="228600"/>
    <xdr:sp macro="" textlink="">
      <xdr:nvSpPr>
        <xdr:cNvPr id="29" name="AutoShape 2" descr="https://www.legisocial.fr/static/images/logos/favicon.svg">
          <a:hlinkClick xmlns:r="http://schemas.openxmlformats.org/officeDocument/2006/relationships" r:id="rId1"/>
        </xdr:cNvPr>
        <xdr:cNvSpPr>
          <a:spLocks noChangeAspect="1" noChangeArrowheads="1"/>
        </xdr:cNvSpPr>
      </xdr:nvSpPr>
      <xdr:spPr bwMode="auto">
        <a:xfrm>
          <a:off x="0" y="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36</xdr:row>
      <xdr:rowOff>0</xdr:rowOff>
    </xdr:from>
    <xdr:ext cx="12700" cy="12700"/>
    <xdr:pic>
      <xdr:nvPicPr>
        <xdr:cNvPr id="30" name="Image 29" descr="https://ad.netlegis.fr/www/delivery/lg.php?bannerid=15&amp;campaignid=1&amp;zoneid=2&amp;loc=https%3A%2F%2Fwww.legisocial.fr%2Factualites-sociales%2F809-decompter-les-absences-des-salaries-les-informations-connaitre.html&amp;cb=417f37eb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38</xdr:row>
      <xdr:rowOff>0</xdr:rowOff>
    </xdr:from>
    <xdr:ext cx="171450" cy="171450"/>
    <xdr:sp macro="" textlink="">
      <xdr:nvSpPr>
        <xdr:cNvPr id="31" name="AutoShape 4" descr="LinkedIN"/>
        <xdr:cNvSpPr>
          <a:spLocks noChangeAspect="1" noChangeArrowheads="1"/>
        </xdr:cNvSpPr>
      </xdr:nvSpPr>
      <xdr:spPr bwMode="auto">
        <a:xfrm>
          <a:off x="0" y="368300"/>
          <a:ext cx="17145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171450" cy="171450"/>
    <xdr:sp macro="" textlink="">
      <xdr:nvSpPr>
        <xdr:cNvPr id="32" name="AutoShape 5" descr="Twitter"/>
        <xdr:cNvSpPr>
          <a:spLocks noChangeAspect="1" noChangeArrowheads="1"/>
        </xdr:cNvSpPr>
      </xdr:nvSpPr>
      <xdr:spPr bwMode="auto">
        <a:xfrm>
          <a:off x="0" y="552450"/>
          <a:ext cx="17145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39</xdr:row>
      <xdr:rowOff>0</xdr:rowOff>
    </xdr:from>
    <xdr:ext cx="107950" cy="171450"/>
    <xdr:sp macro="" textlink="">
      <xdr:nvSpPr>
        <xdr:cNvPr id="33" name="AutoShape 6" descr="Facebook"/>
        <xdr:cNvSpPr>
          <a:spLocks noChangeAspect="1" noChangeArrowheads="1"/>
        </xdr:cNvSpPr>
      </xdr:nvSpPr>
      <xdr:spPr bwMode="auto">
        <a:xfrm>
          <a:off x="0" y="552450"/>
          <a:ext cx="107950" cy="1714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58</xdr:row>
      <xdr:rowOff>0</xdr:rowOff>
    </xdr:from>
    <xdr:ext cx="12700" cy="12700"/>
    <xdr:pic>
      <xdr:nvPicPr>
        <xdr:cNvPr id="34" name="Image 33" descr="https://ad.netlegis.fr/www/delivery/lg.php?bannerid=6&amp;campaignid=1&amp;zoneid=4&amp;loc=https%3A%2F%2Fwww.legisocial.fr%2Factualites-sociales%2F809-decompter-les-absences-des-salaries-les-informations-connaitre.html&amp;cb=ff00017cc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5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119</xdr:row>
      <xdr:rowOff>0</xdr:rowOff>
    </xdr:from>
    <xdr:to>
      <xdr:col>0</xdr:col>
      <xdr:colOff>228600</xdr:colOff>
      <xdr:row>120</xdr:row>
      <xdr:rowOff>44450</xdr:rowOff>
    </xdr:to>
    <xdr:sp macro="" textlink="">
      <xdr:nvSpPr>
        <xdr:cNvPr id="35" name="AutoShape 1" descr="Abonnement LégiSocial"/>
        <xdr:cNvSpPr>
          <a:spLocks noChangeAspect="1" noChangeArrowheads="1"/>
        </xdr:cNvSpPr>
      </xdr:nvSpPr>
      <xdr:spPr bwMode="auto">
        <a:xfrm>
          <a:off x="0" y="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xdr:row>
      <xdr:rowOff>0</xdr:rowOff>
    </xdr:from>
    <xdr:to>
      <xdr:col>0</xdr:col>
      <xdr:colOff>228600</xdr:colOff>
      <xdr:row>120</xdr:row>
      <xdr:rowOff>44450</xdr:rowOff>
    </xdr:to>
    <xdr:sp macro="" textlink="">
      <xdr:nvSpPr>
        <xdr:cNvPr id="36" name="AutoShape 2" descr="https://www.legisocial.fr/static/images/logos/favicon.svg">
          <a:hlinkClick xmlns:r="http://schemas.openxmlformats.org/officeDocument/2006/relationships" r:id="rId1"/>
        </xdr:cNvPr>
        <xdr:cNvSpPr>
          <a:spLocks noChangeAspect="1" noChangeArrowheads="1"/>
        </xdr:cNvSpPr>
      </xdr:nvSpPr>
      <xdr:spPr bwMode="auto">
        <a:xfrm>
          <a:off x="0" y="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xdr:row>
      <xdr:rowOff>0</xdr:rowOff>
    </xdr:from>
    <xdr:to>
      <xdr:col>0</xdr:col>
      <xdr:colOff>12700</xdr:colOff>
      <xdr:row>119</xdr:row>
      <xdr:rowOff>12700</xdr:rowOff>
    </xdr:to>
    <xdr:pic>
      <xdr:nvPicPr>
        <xdr:cNvPr id="37" name="Image 36" descr="https://ad.netlegis.fr/www/delivery/lg.php?bannerid=1&amp;campaignid=1&amp;zoneid=2&amp;loc=https%3A%2F%2Fwww.legisocial.fr%2Fcontrat-de-travail%2Fabsences%2Fexemples-chiffres-decompte-absences-2019.html&amp;cb=7e49cf41b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171450</xdr:colOff>
      <xdr:row>120</xdr:row>
      <xdr:rowOff>171450</xdr:rowOff>
    </xdr:to>
    <xdr:sp macro="" textlink="">
      <xdr:nvSpPr>
        <xdr:cNvPr id="38" name="AutoShape 4" descr="LinkedIN"/>
        <xdr:cNvSpPr>
          <a:spLocks noChangeAspect="1" noChangeArrowheads="1"/>
        </xdr:cNvSpPr>
      </xdr:nvSpPr>
      <xdr:spPr bwMode="auto">
        <a:xfrm>
          <a:off x="0" y="381000"/>
          <a:ext cx="171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121</xdr:row>
      <xdr:rowOff>0</xdr:rowOff>
    </xdr:from>
    <xdr:to>
      <xdr:col>0</xdr:col>
      <xdr:colOff>171450</xdr:colOff>
      <xdr:row>121</xdr:row>
      <xdr:rowOff>171450</xdr:rowOff>
    </xdr:to>
    <xdr:sp macro="" textlink="">
      <xdr:nvSpPr>
        <xdr:cNvPr id="39" name="AutoShape 5" descr="Twitter"/>
        <xdr:cNvSpPr>
          <a:spLocks noChangeAspect="1" noChangeArrowheads="1"/>
        </xdr:cNvSpPr>
      </xdr:nvSpPr>
      <xdr:spPr bwMode="auto">
        <a:xfrm>
          <a:off x="0" y="565150"/>
          <a:ext cx="1714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121</xdr:row>
      <xdr:rowOff>0</xdr:rowOff>
    </xdr:from>
    <xdr:to>
      <xdr:col>0</xdr:col>
      <xdr:colOff>107950</xdr:colOff>
      <xdr:row>121</xdr:row>
      <xdr:rowOff>171450</xdr:rowOff>
    </xdr:to>
    <xdr:sp macro="" textlink="">
      <xdr:nvSpPr>
        <xdr:cNvPr id="40" name="AutoShape 6" descr="Facebook"/>
        <xdr:cNvSpPr>
          <a:spLocks noChangeAspect="1" noChangeArrowheads="1"/>
        </xdr:cNvSpPr>
      </xdr:nvSpPr>
      <xdr:spPr bwMode="auto">
        <a:xfrm>
          <a:off x="0" y="565150"/>
          <a:ext cx="10795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154</xdr:row>
      <xdr:rowOff>0</xdr:rowOff>
    </xdr:from>
    <xdr:to>
      <xdr:col>0</xdr:col>
      <xdr:colOff>12700</xdr:colOff>
      <xdr:row>154</xdr:row>
      <xdr:rowOff>12700</xdr:rowOff>
    </xdr:to>
    <xdr:pic>
      <xdr:nvPicPr>
        <xdr:cNvPr id="41" name="Image 40" descr="https://ad.netlegis.fr/www/delivery/lg.php?bannerid=6&amp;campaignid=1&amp;zoneid=4&amp;loc=https%3A%2F%2Fwww.legisocial.fr%2Fcontrat-de-travail%2Fabsences%2Fexemples-chiffres-decompte-absences-2019.html&amp;cb=154335495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65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89</xdr:row>
      <xdr:rowOff>0</xdr:rowOff>
    </xdr:from>
    <xdr:ext cx="12700" cy="12700"/>
    <xdr:pic>
      <xdr:nvPicPr>
        <xdr:cNvPr id="42" name="Image 41" descr="https://ad.netlegis.fr/www/delivery/lg.php?bannerid=6&amp;campaignid=1&amp;zoneid=4&amp;loc=https%3A%2F%2Fwww.legisocial.fr%2Factualites-sociales%2F809-decompter-les-absences-des-salaries-les-informations-connaitre.html&amp;cb=ff00017cc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31794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147</xdr:row>
      <xdr:rowOff>0</xdr:rowOff>
    </xdr:from>
    <xdr:ext cx="12700" cy="12700"/>
    <xdr:pic>
      <xdr:nvPicPr>
        <xdr:cNvPr id="43" name="Image 42" descr="https://ad.netlegis.fr/www/delivery/lg.php?bannerid=6&amp;campaignid=1&amp;zoneid=4&amp;loc=https%3A%2F%2Fwww.legisocial.fr%2Factualites-sociales%2F809-decompter-les-absences-des-salaries-les-informations-connaitre.html&amp;cb=ff00017cc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1706" y="1789952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181</xdr:row>
      <xdr:rowOff>0</xdr:rowOff>
    </xdr:from>
    <xdr:ext cx="12700" cy="12700"/>
    <xdr:pic>
      <xdr:nvPicPr>
        <xdr:cNvPr id="44" name="Image 43" descr="https://ad.netlegis.fr/www/delivery/lg.php?bannerid=6&amp;campaignid=1&amp;zoneid=4&amp;loc=https%3A%2F%2Fwww.legisocial.fr%2Factualites-sociales%2F809-decompter-les-absences-des-salaries-les-informations-connaitre.html&amp;cb=ff00017cc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1706" y="3007658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219</xdr:row>
      <xdr:rowOff>0</xdr:rowOff>
    </xdr:from>
    <xdr:ext cx="12700" cy="12700"/>
    <xdr:pic>
      <xdr:nvPicPr>
        <xdr:cNvPr id="45" name="Image 44" descr="https://ad.netlegis.fr/www/delivery/lg.php?bannerid=6&amp;campaignid=1&amp;zoneid=4&amp;loc=https%3A%2F%2Fwww.legisocial.fr%2Factualites-sociales%2F809-decompter-les-absences-des-salaries-les-informations-connaitre.html&amp;cb=ff00017cc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1706" y="3741270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505113</xdr:colOff>
      <xdr:row>0</xdr:row>
      <xdr:rowOff>0</xdr:rowOff>
    </xdr:from>
    <xdr:to>
      <xdr:col>27</xdr:col>
      <xdr:colOff>543213</xdr:colOff>
      <xdr:row>82</xdr:row>
      <xdr:rowOff>99060</xdr:rowOff>
    </xdr:to>
    <xdr:pic>
      <xdr:nvPicPr>
        <xdr:cNvPr id="2" name="Image 1" descr="https://user.oc-static.com/upload/2020/11/04/1604496970048_2.1.1_V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5113" y="0"/>
          <a:ext cx="20612100" cy="1524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161925</xdr:colOff>
      <xdr:row>77</xdr:row>
      <xdr:rowOff>41275</xdr:rowOff>
    </xdr:from>
    <xdr:to>
      <xdr:col>25</xdr:col>
      <xdr:colOff>382212</xdr:colOff>
      <xdr:row>152</xdr:row>
      <xdr:rowOff>103621</xdr:rowOff>
    </xdr:to>
    <xdr:pic>
      <xdr:nvPicPr>
        <xdr:cNvPr id="3" name="r-7070173" descr="Bulletin de paie montrant les cotisations plafonné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4709775"/>
          <a:ext cx="19270287" cy="14349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156</xdr:row>
      <xdr:rowOff>0</xdr:rowOff>
    </xdr:from>
    <xdr:to>
      <xdr:col>34</xdr:col>
      <xdr:colOff>464820</xdr:colOff>
      <xdr:row>238</xdr:row>
      <xdr:rowOff>99060</xdr:rowOff>
    </xdr:to>
    <xdr:pic>
      <xdr:nvPicPr>
        <xdr:cNvPr id="4" name="Image 3" descr="https://user.oc-static.com/upload/2020/11/04/16044984600983_2.1.1_1.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32320" y="28529280"/>
          <a:ext cx="20276820" cy="1509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service-public.fr/particuliers/vosdroits/N526"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efl.fr/archives/2021/01" TargetMode="External"/><Relationship Id="rId1" Type="http://schemas.openxmlformats.org/officeDocument/2006/relationships/hyperlink" Target="https://www.efl.fr/archives/2021/0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service-public.fr/"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a-paie-facile.com/cotisations-socia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39"/>
  <sheetViews>
    <sheetView topLeftCell="A31" zoomScale="85" zoomScaleNormal="85" workbookViewId="0">
      <selection activeCell="C44" sqref="C44"/>
    </sheetView>
  </sheetViews>
  <sheetFormatPr baseColWidth="10" defaultRowHeight="14.5"/>
  <sheetData>
    <row r="1" spans="1:1" ht="18" thickBot="1">
      <c r="A1" s="2" t="s">
        <v>3</v>
      </c>
    </row>
    <row r="2" spans="1:1">
      <c r="A2" s="4" t="s">
        <v>409</v>
      </c>
    </row>
    <row r="3" spans="1:1">
      <c r="A3" s="4" t="s">
        <v>35</v>
      </c>
    </row>
    <row r="4" spans="1:1">
      <c r="A4" s="4" t="s">
        <v>4</v>
      </c>
    </row>
    <row r="5" spans="1:1" ht="18" thickBot="1">
      <c r="A5" s="2" t="s">
        <v>5</v>
      </c>
    </row>
    <row r="6" spans="1:1" ht="15.5">
      <c r="A6" s="5" t="s">
        <v>6</v>
      </c>
    </row>
    <row r="7" spans="1:1">
      <c r="A7" s="3" t="s">
        <v>37</v>
      </c>
    </row>
    <row r="8" spans="1:1">
      <c r="A8" s="3" t="s">
        <v>36</v>
      </c>
    </row>
    <row r="9" spans="1:1" ht="15.5">
      <c r="A9" s="5" t="s">
        <v>7</v>
      </c>
    </row>
    <row r="10" spans="1:1">
      <c r="A10" s="3" t="s">
        <v>8</v>
      </c>
    </row>
    <row r="11" spans="1:1">
      <c r="A11" s="3" t="s">
        <v>38</v>
      </c>
    </row>
    <row r="12" spans="1:1" ht="15.5">
      <c r="A12" s="5" t="s">
        <v>10</v>
      </c>
    </row>
    <row r="13" spans="1:1">
      <c r="A13" s="3" t="s">
        <v>11</v>
      </c>
    </row>
    <row r="14" spans="1:1">
      <c r="A14" s="3" t="s">
        <v>12</v>
      </c>
    </row>
    <row r="15" spans="1:1">
      <c r="A15" s="3" t="s">
        <v>13</v>
      </c>
    </row>
    <row r="16" spans="1:1">
      <c r="A16" s="6" t="s">
        <v>14</v>
      </c>
    </row>
    <row r="17" spans="1:1">
      <c r="A17" s="4" t="s">
        <v>39</v>
      </c>
    </row>
    <row r="18" spans="1:1">
      <c r="A18" s="7" t="s">
        <v>15</v>
      </c>
    </row>
    <row r="19" spans="1:1">
      <c r="A19" s="7" t="s">
        <v>16</v>
      </c>
    </row>
    <row r="20" spans="1:1">
      <c r="A20" s="3" t="s">
        <v>17</v>
      </c>
    </row>
    <row r="21" spans="1:1">
      <c r="A21" s="7" t="s">
        <v>18</v>
      </c>
    </row>
    <row r="22" spans="1:1">
      <c r="A22" s="7" t="s">
        <v>19</v>
      </c>
    </row>
    <row r="23" spans="1:1">
      <c r="A23" s="7" t="s">
        <v>20</v>
      </c>
    </row>
    <row r="24" spans="1:1">
      <c r="A24" s="3" t="s">
        <v>21</v>
      </c>
    </row>
    <row r="25" spans="1:1" ht="15.5">
      <c r="A25" s="5" t="s">
        <v>22</v>
      </c>
    </row>
    <row r="26" spans="1:1">
      <c r="A26" s="3" t="s">
        <v>23</v>
      </c>
    </row>
    <row r="27" spans="1:1">
      <c r="A27" s="3" t="s">
        <v>40</v>
      </c>
    </row>
    <row r="28" spans="1:1" ht="15.5">
      <c r="A28" s="5" t="s">
        <v>24</v>
      </c>
    </row>
    <row r="29" spans="1:1">
      <c r="A29" s="3" t="s">
        <v>25</v>
      </c>
    </row>
    <row r="30" spans="1:1">
      <c r="A30" s="4" t="s">
        <v>9</v>
      </c>
    </row>
    <row r="31" spans="1:1">
      <c r="A31" s="4" t="s">
        <v>26</v>
      </c>
    </row>
    <row r="32" spans="1:1">
      <c r="A32" s="4" t="s">
        <v>27</v>
      </c>
    </row>
    <row r="33" spans="1:1">
      <c r="A33" s="4" t="s">
        <v>28</v>
      </c>
    </row>
    <row r="34" spans="1:1">
      <c r="A34" s="4" t="s">
        <v>29</v>
      </c>
    </row>
    <row r="35" spans="1:1">
      <c r="A35" s="4" t="s">
        <v>30</v>
      </c>
    </row>
    <row r="36" spans="1:1">
      <c r="A36" s="4" t="s">
        <v>31</v>
      </c>
    </row>
    <row r="37" spans="1:1">
      <c r="A37" s="4" t="s">
        <v>32</v>
      </c>
    </row>
    <row r="38" spans="1:1">
      <c r="A38" s="4" t="s">
        <v>33</v>
      </c>
    </row>
    <row r="39" spans="1:1">
      <c r="A39" s="4" t="s">
        <v>34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A19" workbookViewId="0">
      <selection activeCell="D22" sqref="D22"/>
    </sheetView>
  </sheetViews>
  <sheetFormatPr baseColWidth="10" defaultRowHeight="14.5"/>
  <cols>
    <col min="1" max="1" width="12.1796875" customWidth="1"/>
    <col min="2" max="3" width="10.90625" style="289"/>
    <col min="4" max="4" width="12.54296875" style="289" bestFit="1" customWidth="1"/>
    <col min="6" max="6" width="11.54296875" bestFit="1" customWidth="1"/>
  </cols>
  <sheetData>
    <row r="1" spans="1:12" ht="60.5" customHeight="1">
      <c r="A1" s="344" t="s">
        <v>456</v>
      </c>
      <c r="B1" s="356" t="s">
        <v>637</v>
      </c>
      <c r="C1" s="356" t="s">
        <v>806</v>
      </c>
      <c r="D1" s="356" t="s">
        <v>812</v>
      </c>
      <c r="E1" s="265" t="s">
        <v>811</v>
      </c>
      <c r="F1" s="265" t="s">
        <v>807</v>
      </c>
      <c r="G1" s="265" t="s">
        <v>808</v>
      </c>
      <c r="K1" s="346" t="s">
        <v>41</v>
      </c>
    </row>
    <row r="2" spans="1:12">
      <c r="A2" s="344" t="s">
        <v>462</v>
      </c>
      <c r="B2" s="359">
        <v>2800</v>
      </c>
      <c r="C2" s="359">
        <v>1539.42</v>
      </c>
      <c r="D2" s="288">
        <f>+C2*1.8</f>
        <v>2770.9560000000001</v>
      </c>
      <c r="E2" s="1">
        <f>+IF((B2)&lt;D2,(B2),IF((B2)&gt;D2,D2))</f>
        <v>2770.9560000000001</v>
      </c>
      <c r="F2" s="517">
        <f>+E5/91.25</f>
        <v>84.842871232876718</v>
      </c>
      <c r="G2" s="517">
        <f>+F2/2</f>
        <v>42.421435616438359</v>
      </c>
      <c r="K2" s="347" t="s">
        <v>42</v>
      </c>
    </row>
    <row r="3" spans="1:12">
      <c r="A3" s="344" t="s">
        <v>463</v>
      </c>
      <c r="B3" s="359">
        <v>4000</v>
      </c>
      <c r="C3" s="359">
        <v>1539.42</v>
      </c>
      <c r="D3" s="288">
        <f>+C3*1.8</f>
        <v>2770.9560000000001</v>
      </c>
      <c r="E3" s="1">
        <f>+IF((B3)&lt;D3,(B3),IF((B3)&gt;D3,D3))</f>
        <v>2770.9560000000001</v>
      </c>
      <c r="F3" s="517"/>
      <c r="G3" s="517"/>
      <c r="K3" s="347" t="s">
        <v>43</v>
      </c>
    </row>
    <row r="4" spans="1:12">
      <c r="A4" s="344" t="s">
        <v>464</v>
      </c>
      <c r="B4" s="359">
        <v>2200</v>
      </c>
      <c r="C4" s="359">
        <v>1539.42</v>
      </c>
      <c r="D4" s="288">
        <f>+C4*1.8</f>
        <v>2770.9560000000001</v>
      </c>
      <c r="E4" s="1">
        <f>+IF((B4)&lt;D4,(B4),IF((B4)&gt;D4,D4))</f>
        <v>2200</v>
      </c>
      <c r="F4" s="517"/>
      <c r="G4" s="517"/>
      <c r="K4" s="347" t="s">
        <v>44</v>
      </c>
    </row>
    <row r="5" spans="1:12">
      <c r="B5" s="349">
        <f>SUM(B2:B4)</f>
        <v>9000</v>
      </c>
      <c r="C5" s="349">
        <f>SUM(C2:C4)</f>
        <v>4618.26</v>
      </c>
      <c r="D5" s="349">
        <f>SUM(D2:D4)</f>
        <v>8312.8680000000004</v>
      </c>
      <c r="E5" s="345">
        <f>SUM(E2:E4)</f>
        <v>7741.9120000000003</v>
      </c>
      <c r="F5" s="517"/>
      <c r="G5" s="517"/>
      <c r="K5" s="347" t="s">
        <v>45</v>
      </c>
    </row>
    <row r="6" spans="1:12">
      <c r="K6" s="346" t="s">
        <v>46</v>
      </c>
    </row>
    <row r="7" spans="1:12">
      <c r="A7" s="350" t="s">
        <v>813</v>
      </c>
    </row>
    <row r="8" spans="1:12">
      <c r="K8" s="347" t="s">
        <v>810</v>
      </c>
      <c r="L8" s="170"/>
    </row>
    <row r="9" spans="1:12">
      <c r="A9" s="293" t="s">
        <v>814</v>
      </c>
      <c r="K9" s="348" t="s">
        <v>809</v>
      </c>
    </row>
    <row r="10" spans="1:12">
      <c r="A10" s="296" t="s">
        <v>815</v>
      </c>
    </row>
    <row r="11" spans="1:12">
      <c r="A11" s="351" t="s">
        <v>817</v>
      </c>
    </row>
    <row r="12" spans="1:12">
      <c r="A12" s="351" t="s">
        <v>816</v>
      </c>
    </row>
    <row r="13" spans="1:12">
      <c r="A13" s="351" t="s">
        <v>818</v>
      </c>
    </row>
    <row r="14" spans="1:12">
      <c r="A14" s="293" t="s">
        <v>814</v>
      </c>
      <c r="D14" s="354" t="s">
        <v>828</v>
      </c>
    </row>
    <row r="15" spans="1:12">
      <c r="A15" s="353" t="s">
        <v>819</v>
      </c>
      <c r="B15" s="357" t="s">
        <v>0</v>
      </c>
      <c r="C15" s="357" t="s">
        <v>1</v>
      </c>
      <c r="D15" s="357" t="s">
        <v>588</v>
      </c>
    </row>
    <row r="16" spans="1:12">
      <c r="A16" s="352" t="s">
        <v>820</v>
      </c>
      <c r="B16" s="288">
        <v>151.66999999999999</v>
      </c>
      <c r="C16" s="288">
        <v>10.15</v>
      </c>
      <c r="D16" s="288">
        <f>+B16*C16</f>
        <v>1539.4504999999999</v>
      </c>
    </row>
    <row r="17" spans="1:8">
      <c r="A17" s="352" t="s">
        <v>821</v>
      </c>
      <c r="B17" s="288">
        <f>D16</f>
        <v>1539.4504999999999</v>
      </c>
      <c r="C17" s="364">
        <v>0.15</v>
      </c>
      <c r="D17" s="288">
        <f>B17*C17</f>
        <v>230.91757499999997</v>
      </c>
    </row>
    <row r="18" spans="1:8">
      <c r="A18" s="352" t="s">
        <v>822</v>
      </c>
      <c r="B18" s="288">
        <f>9*7</f>
        <v>63</v>
      </c>
      <c r="C18" s="288">
        <f>21*7</f>
        <v>147</v>
      </c>
      <c r="D18" s="288">
        <f>-(D16)*B18/C18</f>
        <v>-659.76449999999988</v>
      </c>
      <c r="E18" s="355" t="s">
        <v>829</v>
      </c>
    </row>
    <row r="19" spans="1:8">
      <c r="A19" s="352" t="s">
        <v>823</v>
      </c>
      <c r="B19" s="288">
        <f>-D18</f>
        <v>659.76449999999988</v>
      </c>
      <c r="C19" s="364">
        <v>0.9</v>
      </c>
      <c r="D19" s="358">
        <f>B19*C19</f>
        <v>593.78804999999988</v>
      </c>
      <c r="E19" s="355" t="s">
        <v>830</v>
      </c>
    </row>
    <row r="20" spans="1:8">
      <c r="A20" s="352" t="s">
        <v>824</v>
      </c>
      <c r="B20" s="288">
        <f>14-3</f>
        <v>11</v>
      </c>
      <c r="C20" s="288">
        <v>25.63</v>
      </c>
      <c r="D20" s="288">
        <f>-B20*C20</f>
        <v>-281.93</v>
      </c>
      <c r="E20" s="293" t="s">
        <v>834</v>
      </c>
    </row>
    <row r="21" spans="1:8">
      <c r="A21" s="352" t="s">
        <v>825</v>
      </c>
      <c r="B21" s="288"/>
      <c r="C21" s="288"/>
      <c r="D21" s="349">
        <f>SUM(D16:D20)</f>
        <v>1422.4616249999999</v>
      </c>
    </row>
    <row r="22" spans="1:8">
      <c r="A22" s="352" t="s">
        <v>826</v>
      </c>
      <c r="B22" s="288">
        <f>D21</f>
        <v>1422.4616249999999</v>
      </c>
      <c r="C22" s="364">
        <v>0.23</v>
      </c>
      <c r="D22" s="288">
        <f>-B22*C22</f>
        <v>-327.16617374999998</v>
      </c>
      <c r="E22" s="366">
        <f>+C20*(1-6.7%)</f>
        <v>23.912790000000001</v>
      </c>
      <c r="F22" s="254"/>
      <c r="G22" s="254"/>
    </row>
    <row r="23" spans="1:8">
      <c r="A23" s="352"/>
      <c r="B23" s="288"/>
      <c r="C23" s="364"/>
      <c r="D23" s="288"/>
      <c r="E23" s="355" t="s">
        <v>835</v>
      </c>
    </row>
    <row r="24" spans="1:8">
      <c r="A24" s="352" t="s">
        <v>827</v>
      </c>
      <c r="B24" s="288">
        <f>14-3</f>
        <v>11</v>
      </c>
      <c r="C24" s="367">
        <v>24.11</v>
      </c>
      <c r="D24" s="288">
        <f>+B24*C24</f>
        <v>265.20999999999998</v>
      </c>
      <c r="E24" s="293" t="s">
        <v>837</v>
      </c>
    </row>
    <row r="25" spans="1:8" ht="16">
      <c r="A25" s="352" t="s">
        <v>2</v>
      </c>
      <c r="B25" s="288"/>
      <c r="C25" s="288"/>
      <c r="D25" s="365">
        <f>SUM(D21:D24)</f>
        <v>1360.5054512500001</v>
      </c>
      <c r="E25" s="293" t="s">
        <v>836</v>
      </c>
    </row>
    <row r="26" spans="1:8">
      <c r="A26" s="293" t="s">
        <v>838</v>
      </c>
    </row>
    <row r="27" spans="1:8" ht="56" customHeight="1">
      <c r="A27" s="344" t="s">
        <v>456</v>
      </c>
      <c r="B27" s="356" t="s">
        <v>637</v>
      </c>
      <c r="C27" s="356" t="s">
        <v>806</v>
      </c>
      <c r="D27" s="356" t="s">
        <v>812</v>
      </c>
      <c r="E27" s="265" t="s">
        <v>811</v>
      </c>
      <c r="F27" s="265" t="s">
        <v>831</v>
      </c>
      <c r="G27" s="265" t="s">
        <v>808</v>
      </c>
    </row>
    <row r="28" spans="1:8">
      <c r="A28" s="344" t="s">
        <v>462</v>
      </c>
      <c r="B28" s="359">
        <v>1539.42</v>
      </c>
      <c r="C28" s="359">
        <v>1539.42</v>
      </c>
      <c r="D28" s="360">
        <f>+C28*1.8</f>
        <v>2770.9560000000001</v>
      </c>
      <c r="E28" s="363">
        <f>+IF((B28)&lt;D28,(B28),IF((B28)&gt;D28,D28))</f>
        <v>1539.42</v>
      </c>
      <c r="F28" s="518">
        <f>+E31/91.25</f>
        <v>51.274958904109589</v>
      </c>
      <c r="G28" s="519">
        <f>F28/2</f>
        <v>25.637479452054794</v>
      </c>
      <c r="H28" s="296" t="s">
        <v>832</v>
      </c>
    </row>
    <row r="29" spans="1:8">
      <c r="A29" s="344" t="s">
        <v>463</v>
      </c>
      <c r="B29" s="359">
        <v>1600</v>
      </c>
      <c r="C29" s="359">
        <v>1539.42</v>
      </c>
      <c r="D29" s="360">
        <f>+C29*1.8</f>
        <v>2770.9560000000001</v>
      </c>
      <c r="E29" s="363">
        <f>+IF((B29)&lt;D29,(B29),IF((B29)&gt;D29,D29))</f>
        <v>1600</v>
      </c>
      <c r="F29" s="518"/>
      <c r="G29" s="519"/>
      <c r="H29" s="296" t="s">
        <v>833</v>
      </c>
    </row>
    <row r="30" spans="1:8">
      <c r="A30" s="344" t="s">
        <v>464</v>
      </c>
      <c r="B30" s="359">
        <v>1539.42</v>
      </c>
      <c r="C30" s="359">
        <v>1539.42</v>
      </c>
      <c r="D30" s="360">
        <f>+C30*1.8</f>
        <v>2770.9560000000001</v>
      </c>
      <c r="E30" s="363">
        <f>+IF((B30)&lt;D30,(B30),IF((B30)&gt;D30,D30))</f>
        <v>1539.42</v>
      </c>
      <c r="F30" s="518"/>
      <c r="G30" s="519"/>
    </row>
    <row r="31" spans="1:8">
      <c r="A31" s="80"/>
      <c r="B31" s="361">
        <f>SUM(B28:B30)</f>
        <v>4678.84</v>
      </c>
      <c r="C31" s="361">
        <f>SUM(C28:C30)</f>
        <v>4618.26</v>
      </c>
      <c r="D31" s="361">
        <f>SUM(D28:D30)</f>
        <v>8312.8680000000004</v>
      </c>
      <c r="E31" s="362">
        <f>SUM(E28:E30)</f>
        <v>4678.84</v>
      </c>
      <c r="F31" s="518"/>
      <c r="G31" s="519"/>
    </row>
    <row r="32" spans="1:8" ht="17.5">
      <c r="A32" s="380" t="s">
        <v>906</v>
      </c>
    </row>
    <row r="33" spans="1:9">
      <c r="A33" s="381" t="s">
        <v>908</v>
      </c>
    </row>
    <row r="34" spans="1:9">
      <c r="A34" s="87" t="s">
        <v>875</v>
      </c>
    </row>
    <row r="35" spans="1:9" ht="15.5">
      <c r="A35" s="286" t="s">
        <v>880</v>
      </c>
    </row>
    <row r="36" spans="1:9">
      <c r="A36" s="297" t="s">
        <v>887</v>
      </c>
    </row>
    <row r="37" spans="1:9">
      <c r="A37" s="296" t="s">
        <v>881</v>
      </c>
    </row>
    <row r="38" spans="1:9">
      <c r="A38" s="297" t="s">
        <v>882</v>
      </c>
    </row>
    <row r="39" spans="1:9">
      <c r="A39" s="297" t="s">
        <v>883</v>
      </c>
    </row>
    <row r="40" spans="1:9">
      <c r="A40" s="297" t="s">
        <v>884</v>
      </c>
    </row>
    <row r="42" spans="1:9" s="80" customFormat="1" ht="37" customHeight="1">
      <c r="A42" s="344" t="s">
        <v>456</v>
      </c>
      <c r="B42" s="356" t="s">
        <v>637</v>
      </c>
      <c r="C42" s="356" t="s">
        <v>806</v>
      </c>
      <c r="D42" s="356" t="s">
        <v>812</v>
      </c>
      <c r="E42" s="250" t="s">
        <v>811</v>
      </c>
      <c r="F42" s="250" t="s">
        <v>831</v>
      </c>
      <c r="G42" s="250" t="s">
        <v>808</v>
      </c>
    </row>
    <row r="43" spans="1:9">
      <c r="A43" s="275" t="s">
        <v>464</v>
      </c>
      <c r="B43" s="373">
        <v>3245</v>
      </c>
      <c r="C43" s="373">
        <v>1539.42</v>
      </c>
      <c r="D43" s="288">
        <f>+C43*1.8</f>
        <v>2770.9560000000001</v>
      </c>
      <c r="E43" s="374">
        <f>+IF((B43)&lt;D43,(B43),IF((B43)&gt;D43,D43))</f>
        <v>2770.9560000000001</v>
      </c>
      <c r="F43" s="520">
        <f>+E46/91.25</f>
        <v>91.099923287671231</v>
      </c>
      <c r="G43" s="520">
        <f>F43/2</f>
        <v>45.549961643835616</v>
      </c>
      <c r="H43" s="296" t="s">
        <v>885</v>
      </c>
      <c r="I43" s="76"/>
    </row>
    <row r="44" spans="1:9">
      <c r="A44" s="275" t="s">
        <v>465</v>
      </c>
      <c r="B44" s="373">
        <v>3445</v>
      </c>
      <c r="C44" s="373">
        <v>1539.42</v>
      </c>
      <c r="D44" s="288">
        <f>+C44*1.8</f>
        <v>2770.9560000000001</v>
      </c>
      <c r="E44" s="374">
        <f>+IF((B44)&lt;D44,(B44),IF((B44)&gt;D44,D44))</f>
        <v>2770.9560000000001</v>
      </c>
      <c r="F44" s="520"/>
      <c r="G44" s="520"/>
      <c r="H44" s="296" t="s">
        <v>886</v>
      </c>
      <c r="I44" s="76"/>
    </row>
    <row r="45" spans="1:9">
      <c r="A45" s="275" t="s">
        <v>466</v>
      </c>
      <c r="B45" s="373">
        <v>3245</v>
      </c>
      <c r="C45" s="373">
        <v>1539.42</v>
      </c>
      <c r="D45" s="288">
        <f>+C45*1.8</f>
        <v>2770.9560000000001</v>
      </c>
      <c r="E45" s="374">
        <f>+IF((B45)&lt;D45,(B45),IF((B45)&gt;D45,D45))</f>
        <v>2770.9560000000001</v>
      </c>
      <c r="F45" s="520"/>
      <c r="G45" s="520"/>
      <c r="H45" s="76"/>
      <c r="I45" s="76"/>
    </row>
    <row r="46" spans="1:9">
      <c r="A46" s="76"/>
      <c r="B46" s="368">
        <f>SUM(B43:B45)</f>
        <v>9935</v>
      </c>
      <c r="C46" s="368">
        <f>SUM(C43:C45)</f>
        <v>4618.26</v>
      </c>
      <c r="D46" s="368">
        <f>SUM(D43:D45)</f>
        <v>8312.8680000000004</v>
      </c>
      <c r="E46" s="369">
        <f>SUM(E43:E45)</f>
        <v>8312.8680000000004</v>
      </c>
      <c r="F46" s="520"/>
      <c r="G46" s="520"/>
      <c r="H46" s="76"/>
      <c r="I46" s="76"/>
    </row>
    <row r="49" spans="1:10">
      <c r="A49" s="293" t="s">
        <v>888</v>
      </c>
      <c r="D49" s="354" t="s">
        <v>889</v>
      </c>
    </row>
    <row r="50" spans="1:10">
      <c r="A50" s="353" t="s">
        <v>819</v>
      </c>
      <c r="B50" s="357" t="s">
        <v>0</v>
      </c>
      <c r="C50" s="357" t="s">
        <v>1</v>
      </c>
      <c r="D50" s="357" t="s">
        <v>588</v>
      </c>
      <c r="F50" s="379" t="s">
        <v>911</v>
      </c>
    </row>
    <row r="51" spans="1:10">
      <c r="A51" s="352" t="s">
        <v>820</v>
      </c>
      <c r="B51" s="371"/>
      <c r="C51" s="371"/>
      <c r="D51" s="288">
        <v>3245</v>
      </c>
      <c r="E51" s="355" t="s">
        <v>909</v>
      </c>
      <c r="F51" s="355"/>
      <c r="J51" s="355" t="s">
        <v>910</v>
      </c>
    </row>
    <row r="52" spans="1:10">
      <c r="A52" s="352" t="s">
        <v>822</v>
      </c>
      <c r="B52" s="288">
        <f>8*7</f>
        <v>56</v>
      </c>
      <c r="C52" s="288">
        <f>21*7</f>
        <v>147</v>
      </c>
      <c r="D52" s="288">
        <f>-(D51)*B52/C52</f>
        <v>-1236.1904761904761</v>
      </c>
      <c r="E52" s="355" t="s">
        <v>890</v>
      </c>
    </row>
    <row r="53" spans="1:10">
      <c r="A53" s="352"/>
      <c r="B53" s="288"/>
      <c r="C53" s="288"/>
      <c r="D53" s="288"/>
      <c r="E53" s="355"/>
    </row>
    <row r="54" spans="1:10" s="80" customFormat="1">
      <c r="A54" s="375" t="s">
        <v>823</v>
      </c>
      <c r="B54" s="360">
        <f>-D52</f>
        <v>1236.1904761904761</v>
      </c>
      <c r="C54" s="376">
        <v>1</v>
      </c>
      <c r="D54" s="377">
        <f>B54*C54</f>
        <v>1236.1904761904761</v>
      </c>
      <c r="E54" s="355" t="s">
        <v>912</v>
      </c>
    </row>
    <row r="55" spans="1:10" s="80" customFormat="1">
      <c r="A55" s="375"/>
      <c r="B55" s="360"/>
      <c r="C55" s="376"/>
      <c r="D55" s="377"/>
      <c r="E55" s="355" t="s">
        <v>913</v>
      </c>
    </row>
    <row r="56" spans="1:10" s="80" customFormat="1">
      <c r="A56" s="375"/>
      <c r="B56" s="360"/>
      <c r="C56" s="376"/>
      <c r="D56" s="377"/>
      <c r="E56" s="355" t="s">
        <v>914</v>
      </c>
    </row>
    <row r="57" spans="1:10" s="80" customFormat="1">
      <c r="A57" s="375"/>
      <c r="B57" s="360"/>
      <c r="C57" s="376"/>
      <c r="D57" s="377"/>
      <c r="E57" s="355"/>
    </row>
    <row r="58" spans="1:10">
      <c r="A58" s="352" t="s">
        <v>824</v>
      </c>
      <c r="B58" s="288">
        <f>11-3</f>
        <v>8</v>
      </c>
      <c r="C58" s="288">
        <f>+G43</f>
        <v>45.549961643835616</v>
      </c>
      <c r="D58" s="288">
        <f>-B58*C58</f>
        <v>-364.39969315068493</v>
      </c>
      <c r="E58" s="355" t="s">
        <v>891</v>
      </c>
    </row>
    <row r="59" spans="1:10">
      <c r="A59" s="352"/>
      <c r="B59" s="288"/>
      <c r="C59" s="288"/>
      <c r="D59" s="288"/>
      <c r="E59" s="355" t="s">
        <v>915</v>
      </c>
    </row>
    <row r="60" spans="1:10">
      <c r="A60" s="352"/>
      <c r="B60" s="288"/>
      <c r="C60" s="288"/>
      <c r="D60" s="288"/>
      <c r="E60" s="355" t="s">
        <v>916</v>
      </c>
    </row>
    <row r="61" spans="1:10">
      <c r="A61" s="352"/>
      <c r="B61" s="288"/>
      <c r="C61" s="288"/>
      <c r="D61" s="288"/>
      <c r="E61" s="355" t="s">
        <v>917</v>
      </c>
    </row>
    <row r="62" spans="1:10">
      <c r="A62" s="352" t="s">
        <v>825</v>
      </c>
      <c r="B62" s="288"/>
      <c r="C62" s="288"/>
      <c r="D62" s="368">
        <f>SUM(D51:D58)</f>
        <v>2880.6003068493151</v>
      </c>
    </row>
    <row r="63" spans="1:10">
      <c r="A63" s="352" t="s">
        <v>826</v>
      </c>
      <c r="B63" s="288">
        <f>+D62</f>
        <v>2880.6003068493151</v>
      </c>
      <c r="C63" s="364">
        <v>0.23</v>
      </c>
      <c r="D63" s="288">
        <f>-B63*C63</f>
        <v>-662.53807057534254</v>
      </c>
      <c r="F63" s="254"/>
    </row>
    <row r="64" spans="1:10">
      <c r="A64" s="352"/>
      <c r="B64" s="288"/>
      <c r="C64" s="364"/>
      <c r="D64" s="288"/>
      <c r="E64" s="355" t="s">
        <v>835</v>
      </c>
    </row>
    <row r="65" spans="1:11">
      <c r="A65" s="352" t="s">
        <v>827</v>
      </c>
      <c r="B65" s="288">
        <f>11-3</f>
        <v>8</v>
      </c>
      <c r="C65" s="367">
        <f>+C58*(1-6.7%)</f>
        <v>42.498114213698635</v>
      </c>
      <c r="D65" s="288">
        <f>+B65*C65</f>
        <v>339.98491370958908</v>
      </c>
      <c r="E65" s="355" t="s">
        <v>892</v>
      </c>
    </row>
    <row r="66" spans="1:11">
      <c r="A66" s="352"/>
      <c r="B66" s="288"/>
      <c r="C66" s="367"/>
      <c r="D66" s="288"/>
      <c r="E66" s="355" t="s">
        <v>893</v>
      </c>
    </row>
    <row r="67" spans="1:11">
      <c r="A67" s="352"/>
      <c r="B67" s="288"/>
      <c r="C67" s="367"/>
      <c r="D67" s="288"/>
      <c r="E67" s="355" t="s">
        <v>919</v>
      </c>
      <c r="K67" s="355" t="s">
        <v>918</v>
      </c>
    </row>
    <row r="68" spans="1:11" ht="16">
      <c r="A68" s="352" t="s">
        <v>2</v>
      </c>
      <c r="B68" s="288"/>
      <c r="C68" s="288"/>
      <c r="D68" s="365">
        <f>SUM(D62:D65)</f>
        <v>2558.0471499835612</v>
      </c>
    </row>
    <row r="69" spans="1:11">
      <c r="A69" s="293" t="s">
        <v>838</v>
      </c>
      <c r="E69" s="378"/>
    </row>
    <row r="71" spans="1:11">
      <c r="A71" s="379" t="s">
        <v>911</v>
      </c>
    </row>
    <row r="72" spans="1:11">
      <c r="A72" s="379" t="s">
        <v>920</v>
      </c>
      <c r="F72" s="355"/>
    </row>
    <row r="73" spans="1:11">
      <c r="A73" s="379" t="s">
        <v>921</v>
      </c>
      <c r="E73" s="355"/>
    </row>
    <row r="74" spans="1:11">
      <c r="A74" s="379" t="s">
        <v>922</v>
      </c>
    </row>
    <row r="75" spans="1:11">
      <c r="B75" s="382" t="s">
        <v>924</v>
      </c>
      <c r="C75" s="382" t="s">
        <v>924</v>
      </c>
      <c r="D75" s="289">
        <v>3245</v>
      </c>
    </row>
    <row r="76" spans="1:11">
      <c r="A76" s="352" t="s">
        <v>822</v>
      </c>
      <c r="B76" s="371">
        <f>11*7</f>
        <v>77</v>
      </c>
      <c r="C76" s="371">
        <f>20*7</f>
        <v>140</v>
      </c>
      <c r="D76" s="288">
        <f>-(D75)*B76/C76</f>
        <v>-1784.75</v>
      </c>
      <c r="E76" s="355" t="s">
        <v>923</v>
      </c>
    </row>
  </sheetData>
  <mergeCells count="6">
    <mergeCell ref="F2:F5"/>
    <mergeCell ref="G2:G5"/>
    <mergeCell ref="F28:F31"/>
    <mergeCell ref="G28:G31"/>
    <mergeCell ref="F43:F46"/>
    <mergeCell ref="G43:G46"/>
  </mergeCells>
  <hyperlinks>
    <hyperlink ref="A7" r:id="rId1" display="https://www.service-public.fr/particuliers/vosdroits/N526"/>
  </hyperlinks>
  <pageMargins left="0.7" right="0.7" top="0.75" bottom="0.75" header="0.3" footer="0.3"/>
  <pageSetup paperSize="9" orientation="portrait" r:id="rId2"/>
  <ignoredErrors>
    <ignoredError sqref="D1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opLeftCell="A66" workbookViewId="0">
      <selection activeCell="D81" sqref="D81"/>
    </sheetView>
  </sheetViews>
  <sheetFormatPr baseColWidth="10" defaultRowHeight="14.5"/>
  <cols>
    <col min="1" max="1" width="31.08984375" customWidth="1"/>
    <col min="2" max="2" width="17.90625" customWidth="1"/>
  </cols>
  <sheetData>
    <row r="1" spans="1:12" ht="17.5">
      <c r="A1" s="380" t="s">
        <v>1213</v>
      </c>
      <c r="L1" s="346" t="s">
        <v>41</v>
      </c>
    </row>
    <row r="2" spans="1:12">
      <c r="A2" s="412" t="s">
        <v>1214</v>
      </c>
      <c r="L2" s="347" t="s">
        <v>42</v>
      </c>
    </row>
    <row r="3" spans="1:12">
      <c r="A3" s="460" t="s">
        <v>1215</v>
      </c>
      <c r="L3" s="347" t="s">
        <v>43</v>
      </c>
    </row>
    <row r="4" spans="1:12">
      <c r="A4" s="460" t="s">
        <v>1216</v>
      </c>
      <c r="L4" s="347" t="s">
        <v>44</v>
      </c>
    </row>
    <row r="5" spans="1:12">
      <c r="A5" s="460" t="s">
        <v>1217</v>
      </c>
      <c r="L5" s="347" t="s">
        <v>45</v>
      </c>
    </row>
    <row r="6" spans="1:12">
      <c r="A6" s="460" t="s">
        <v>1218</v>
      </c>
      <c r="L6" s="346" t="s">
        <v>46</v>
      </c>
    </row>
    <row r="7" spans="1:12">
      <c r="A7" s="460" t="s">
        <v>1219</v>
      </c>
    </row>
    <row r="8" spans="1:12">
      <c r="A8" s="460" t="s">
        <v>1220</v>
      </c>
      <c r="L8" s="347" t="s">
        <v>810</v>
      </c>
    </row>
    <row r="9" spans="1:12">
      <c r="A9" s="460" t="s">
        <v>1221</v>
      </c>
      <c r="L9" s="348" t="s">
        <v>809</v>
      </c>
    </row>
    <row r="10" spans="1:12">
      <c r="A10" s="460" t="s">
        <v>1222</v>
      </c>
    </row>
    <row r="11" spans="1:12">
      <c r="A11" s="460" t="s">
        <v>1223</v>
      </c>
    </row>
    <row r="12" spans="1:12">
      <c r="A12" s="460" t="s">
        <v>1224</v>
      </c>
    </row>
    <row r="15" spans="1:12">
      <c r="B15" s="412" t="s">
        <v>1225</v>
      </c>
    </row>
    <row r="16" spans="1:12">
      <c r="A16" s="412" t="s">
        <v>1226</v>
      </c>
    </row>
    <row r="17" spans="1:4">
      <c r="C17" s="412" t="s">
        <v>1227</v>
      </c>
    </row>
    <row r="18" spans="1:4">
      <c r="A18" s="489" t="s">
        <v>1228</v>
      </c>
    </row>
    <row r="20" spans="1:4">
      <c r="A20" s="492" t="s">
        <v>1229</v>
      </c>
      <c r="B20" s="189">
        <f>151.67*10.48</f>
        <v>1589.5015999999998</v>
      </c>
      <c r="C20" s="10" t="s">
        <v>806</v>
      </c>
    </row>
    <row r="21" spans="1:4">
      <c r="A21" s="493" t="s">
        <v>1230</v>
      </c>
      <c r="B21" s="495">
        <f>11*151.67</f>
        <v>1668.37</v>
      </c>
      <c r="D21" s="490" t="s">
        <v>1236</v>
      </c>
    </row>
    <row r="22" spans="1:4">
      <c r="A22" s="494" t="s">
        <v>1231</v>
      </c>
      <c r="B22" s="496">
        <v>1688.37</v>
      </c>
      <c r="D22" s="490" t="s">
        <v>1237</v>
      </c>
    </row>
    <row r="23" spans="1:4">
      <c r="A23" s="493" t="s">
        <v>1232</v>
      </c>
      <c r="B23" s="495">
        <f>7*11</f>
        <v>77</v>
      </c>
      <c r="C23" s="490"/>
    </row>
    <row r="24" spans="1:4">
      <c r="A24" s="494" t="s">
        <v>1233</v>
      </c>
      <c r="B24" s="496">
        <f>B22-B23</f>
        <v>1611.37</v>
      </c>
      <c r="D24" s="490" t="s">
        <v>1238</v>
      </c>
    </row>
    <row r="25" spans="1:4">
      <c r="A25" s="493" t="s">
        <v>1234</v>
      </c>
      <c r="B25" s="495">
        <v>100</v>
      </c>
      <c r="D25" s="490" t="s">
        <v>1239</v>
      </c>
    </row>
    <row r="26" spans="1:4">
      <c r="A26" s="494" t="s">
        <v>1235</v>
      </c>
      <c r="B26" s="496">
        <f>B24+B25</f>
        <v>1711.37</v>
      </c>
    </row>
    <row r="27" spans="1:4">
      <c r="A27" s="493" t="s">
        <v>1240</v>
      </c>
      <c r="B27" s="497">
        <f>+B20*B24/B22</f>
        <v>1517.0106038320982</v>
      </c>
    </row>
    <row r="33" spans="1:4">
      <c r="A33" s="499" t="s">
        <v>1245</v>
      </c>
    </row>
    <row r="34" spans="1:4">
      <c r="A34" s="500" t="s">
        <v>1246</v>
      </c>
    </row>
    <row r="35" spans="1:4">
      <c r="A35" s="491" t="s">
        <v>1248</v>
      </c>
      <c r="B35" s="502">
        <f>151.67*11</f>
        <v>1668.37</v>
      </c>
      <c r="D35" s="102"/>
    </row>
    <row r="36" spans="1:4" ht="23">
      <c r="A36" s="491" t="s">
        <v>1249</v>
      </c>
      <c r="B36" s="502">
        <f>8*11*125%</f>
        <v>110</v>
      </c>
    </row>
    <row r="37" spans="1:4">
      <c r="A37" s="491" t="s">
        <v>1250</v>
      </c>
      <c r="B37" s="345">
        <f>+B35+B36</f>
        <v>1778.37</v>
      </c>
      <c r="D37" s="490" t="s">
        <v>1243</v>
      </c>
    </row>
    <row r="38" spans="1:4" ht="23">
      <c r="A38" s="491" t="s">
        <v>1251</v>
      </c>
      <c r="B38" s="502">
        <f>(151.67*10.48)+(8*10.48)</f>
        <v>1673.3415999999997</v>
      </c>
      <c r="D38" s="490" t="s">
        <v>1244</v>
      </c>
    </row>
    <row r="39" spans="1:4">
      <c r="A39" s="491" t="s">
        <v>1252</v>
      </c>
      <c r="B39" s="345">
        <f>B37</f>
        <v>1778.37</v>
      </c>
      <c r="D39" s="501"/>
    </row>
    <row r="40" spans="1:4" ht="23">
      <c r="A40" s="491" t="s">
        <v>1253</v>
      </c>
      <c r="B40" s="503">
        <f>0.3246/0.6*(1.6*B38/B37 -1)</f>
        <v>0.27347870182245543</v>
      </c>
      <c r="D40" s="490" t="s">
        <v>1241</v>
      </c>
    </row>
    <row r="41" spans="1:4" ht="23">
      <c r="A41" s="491" t="s">
        <v>1254</v>
      </c>
      <c r="B41" s="502">
        <f>+B37*B40</f>
        <v>486.34631896000002</v>
      </c>
      <c r="D41" s="490" t="s">
        <v>1242</v>
      </c>
    </row>
    <row r="42" spans="1:4" ht="23">
      <c r="A42" s="498" t="s">
        <v>1255</v>
      </c>
      <c r="B42" s="502">
        <f>B41*0.2645/0.3246</f>
        <v>396.29883353333338</v>
      </c>
    </row>
    <row r="43" spans="1:4" ht="23">
      <c r="A43" s="498" t="s">
        <v>1256</v>
      </c>
      <c r="B43" s="502">
        <f>B41*0.0601/0.3246</f>
        <v>90.047485426666668</v>
      </c>
    </row>
    <row r="45" spans="1:4" ht="15.5">
      <c r="A45" s="429" t="s">
        <v>1247</v>
      </c>
    </row>
    <row r="47" spans="1:4" ht="23" customHeight="1">
      <c r="A47" s="504" t="s">
        <v>1257</v>
      </c>
      <c r="B47" s="521" t="s">
        <v>1258</v>
      </c>
      <c r="C47" s="521"/>
      <c r="D47" s="521"/>
    </row>
    <row r="48" spans="1:4" s="505" customFormat="1" ht="14.5" customHeight="1">
      <c r="A48" s="506" t="s">
        <v>1259</v>
      </c>
      <c r="B48" s="522" t="s">
        <v>1262</v>
      </c>
      <c r="C48" s="522"/>
      <c r="D48" s="522"/>
    </row>
    <row r="49" spans="1:7" s="505" customFormat="1" ht="14.5" customHeight="1">
      <c r="A49" s="506" t="s">
        <v>1260</v>
      </c>
      <c r="B49" s="522" t="s">
        <v>1263</v>
      </c>
      <c r="C49" s="522"/>
      <c r="D49" s="522"/>
    </row>
    <row r="50" spans="1:7" s="505" customFormat="1">
      <c r="A50" s="506" t="s">
        <v>1261</v>
      </c>
      <c r="B50" s="522" t="s">
        <v>1264</v>
      </c>
      <c r="C50" s="522"/>
      <c r="D50" s="522"/>
    </row>
    <row r="53" spans="1:7" ht="17.5">
      <c r="A53" s="484" t="s">
        <v>1265</v>
      </c>
      <c r="E53" s="380" t="s">
        <v>1269</v>
      </c>
    </row>
    <row r="54" spans="1:7">
      <c r="A54" s="485" t="s">
        <v>1266</v>
      </c>
      <c r="E54" s="412" t="s">
        <v>1270</v>
      </c>
    </row>
    <row r="55" spans="1:7">
      <c r="A55" s="507" t="s">
        <v>1267</v>
      </c>
    </row>
    <row r="56" spans="1:7">
      <c r="A56" s="507" t="s">
        <v>1268</v>
      </c>
    </row>
    <row r="58" spans="1:7" ht="17.5">
      <c r="A58" s="380" t="s">
        <v>1271</v>
      </c>
      <c r="G58" s="380" t="s">
        <v>1286</v>
      </c>
    </row>
    <row r="59" spans="1:7">
      <c r="A59" s="411" t="s">
        <v>1272</v>
      </c>
      <c r="G59" s="412" t="s">
        <v>1287</v>
      </c>
    </row>
    <row r="60" spans="1:7">
      <c r="A60" s="411" t="s">
        <v>1273</v>
      </c>
      <c r="G60" s="412" t="s">
        <v>1288</v>
      </c>
    </row>
    <row r="61" spans="1:7">
      <c r="A61" s="412" t="s">
        <v>1274</v>
      </c>
      <c r="G61" s="412" t="s">
        <v>1289</v>
      </c>
    </row>
    <row r="62" spans="1:7">
      <c r="A62" s="411" t="s">
        <v>1275</v>
      </c>
      <c r="G62" s="413" t="s">
        <v>1290</v>
      </c>
    </row>
    <row r="63" spans="1:7">
      <c r="A63" s="412" t="s">
        <v>1276</v>
      </c>
      <c r="G63" s="412" t="s">
        <v>1291</v>
      </c>
    </row>
    <row r="64" spans="1:7">
      <c r="A64" s="411" t="s">
        <v>1277</v>
      </c>
      <c r="G64" s="413" t="s">
        <v>1292</v>
      </c>
    </row>
    <row r="65" spans="1:7">
      <c r="A65" s="411" t="s">
        <v>1278</v>
      </c>
      <c r="G65" s="413" t="s">
        <v>1293</v>
      </c>
    </row>
    <row r="66" spans="1:7">
      <c r="A66" s="412" t="s">
        <v>1279</v>
      </c>
      <c r="G66" s="412" t="s">
        <v>1294</v>
      </c>
    </row>
    <row r="67" spans="1:7">
      <c r="A67" s="412" t="s">
        <v>1280</v>
      </c>
      <c r="G67" s="412" t="s">
        <v>1295</v>
      </c>
    </row>
    <row r="68" spans="1:7">
      <c r="A68" s="412" t="s">
        <v>1281</v>
      </c>
      <c r="G68" s="412" t="s">
        <v>1296</v>
      </c>
    </row>
    <row r="69" spans="1:7">
      <c r="A69" s="411" t="s">
        <v>1282</v>
      </c>
    </row>
    <row r="70" spans="1:7">
      <c r="A70" s="412" t="s">
        <v>1283</v>
      </c>
    </row>
    <row r="71" spans="1:7">
      <c r="A71" s="412" t="s">
        <v>1284</v>
      </c>
    </row>
    <row r="72" spans="1:7">
      <c r="A72" s="412" t="s">
        <v>1285</v>
      </c>
    </row>
    <row r="73" spans="1:7">
      <c r="A73" s="446"/>
    </row>
  </sheetData>
  <mergeCells count="4">
    <mergeCell ref="B47:D47"/>
    <mergeCell ref="B48:D48"/>
    <mergeCell ref="B49:D49"/>
    <mergeCell ref="B50:D5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7"/>
  <sheetViews>
    <sheetView topLeftCell="A235" zoomScale="85" zoomScaleNormal="85" workbookViewId="0">
      <selection activeCell="H251" sqref="H251"/>
    </sheetView>
  </sheetViews>
  <sheetFormatPr baseColWidth="10" defaultRowHeight="14.5"/>
  <cols>
    <col min="6" max="6" width="18" customWidth="1"/>
    <col min="7" max="7" width="35.453125" customWidth="1"/>
    <col min="8" max="8" width="26.453125" style="102" customWidth="1"/>
    <col min="9" max="9" width="14.81640625" bestFit="1" customWidth="1"/>
    <col min="10" max="10" width="29.54296875" customWidth="1"/>
    <col min="11" max="11" width="14.1796875" customWidth="1"/>
    <col min="12" max="12" width="18.26953125" customWidth="1"/>
  </cols>
  <sheetData>
    <row r="1" spans="1:9" ht="18" thickBot="1">
      <c r="A1" s="410" t="s">
        <v>961</v>
      </c>
      <c r="F1" s="452">
        <v>43831</v>
      </c>
    </row>
    <row r="2" spans="1:9" ht="15.5">
      <c r="A2" s="286" t="s">
        <v>962</v>
      </c>
    </row>
    <row r="4" spans="1:9" ht="17.5">
      <c r="A4" s="380" t="s">
        <v>963</v>
      </c>
    </row>
    <row r="5" spans="1:9">
      <c r="A5" s="411" t="s">
        <v>964</v>
      </c>
    </row>
    <row r="6" spans="1:9">
      <c r="A6" s="412" t="s">
        <v>965</v>
      </c>
    </row>
    <row r="7" spans="1:9">
      <c r="A7" s="412" t="s">
        <v>966</v>
      </c>
    </row>
    <row r="9" spans="1:9">
      <c r="A9" s="412" t="s">
        <v>967</v>
      </c>
    </row>
    <row r="10" spans="1:9">
      <c r="A10" s="412" t="s">
        <v>968</v>
      </c>
      <c r="G10" s="508" t="s">
        <v>1297</v>
      </c>
    </row>
    <row r="11" spans="1:9">
      <c r="G11" s="454" t="s">
        <v>1093</v>
      </c>
      <c r="H11" s="455"/>
      <c r="I11" s="456"/>
    </row>
    <row r="12" spans="1:9" ht="17.5">
      <c r="A12" s="380" t="s">
        <v>969</v>
      </c>
      <c r="G12" s="454" t="s">
        <v>1177</v>
      </c>
      <c r="H12" s="455"/>
      <c r="I12" s="456"/>
    </row>
    <row r="13" spans="1:9">
      <c r="A13" s="412" t="s">
        <v>970</v>
      </c>
      <c r="G13" s="523">
        <v>0.26440000000000002</v>
      </c>
    </row>
    <row r="14" spans="1:9">
      <c r="A14" s="413" t="s">
        <v>971</v>
      </c>
      <c r="G14" s="523"/>
    </row>
    <row r="15" spans="1:9">
      <c r="A15" s="413" t="s">
        <v>972</v>
      </c>
      <c r="G15" s="523"/>
    </row>
    <row r="16" spans="1:9">
      <c r="A16" s="413" t="s">
        <v>973</v>
      </c>
      <c r="G16" s="523"/>
    </row>
    <row r="17" spans="1:9">
      <c r="A17" s="413" t="s">
        <v>974</v>
      </c>
      <c r="G17" s="523"/>
    </row>
    <row r="18" spans="1:9">
      <c r="A18" s="413" t="s">
        <v>975</v>
      </c>
      <c r="G18" s="523"/>
    </row>
    <row r="19" spans="1:9">
      <c r="A19" s="413" t="s">
        <v>976</v>
      </c>
      <c r="G19" s="523"/>
    </row>
    <row r="20" spans="1:9">
      <c r="A20" s="414" t="s">
        <v>977</v>
      </c>
      <c r="G20" s="523"/>
    </row>
    <row r="21" spans="1:9">
      <c r="A21" s="413" t="s">
        <v>978</v>
      </c>
      <c r="G21" s="523"/>
    </row>
    <row r="22" spans="1:9">
      <c r="A22" s="413" t="s">
        <v>979</v>
      </c>
      <c r="G22" s="436">
        <v>6.0100000000000001E-2</v>
      </c>
    </row>
    <row r="23" spans="1:9" ht="15" thickBot="1">
      <c r="A23" s="412" t="s">
        <v>980</v>
      </c>
    </row>
    <row r="24" spans="1:9" ht="15" thickBot="1">
      <c r="A24" s="426" t="s">
        <v>982</v>
      </c>
      <c r="B24" s="427"/>
      <c r="C24" s="427"/>
      <c r="D24" s="428"/>
      <c r="G24" s="10" t="s">
        <v>1025</v>
      </c>
    </row>
    <row r="25" spans="1:9" ht="15" thickBot="1">
      <c r="A25" s="423" t="s">
        <v>983</v>
      </c>
      <c r="B25" s="424"/>
      <c r="C25" s="424"/>
      <c r="D25" s="425"/>
      <c r="G25" s="10" t="s">
        <v>1026</v>
      </c>
    </row>
    <row r="27" spans="1:9" ht="17.5">
      <c r="A27" s="380" t="s">
        <v>984</v>
      </c>
    </row>
    <row r="28" spans="1:9" ht="17.5">
      <c r="A28" s="380" t="s">
        <v>985</v>
      </c>
    </row>
    <row r="29" spans="1:9">
      <c r="A29" s="412" t="s">
        <v>986</v>
      </c>
    </row>
    <row r="30" spans="1:9">
      <c r="A30" s="412" t="s">
        <v>987</v>
      </c>
    </row>
    <row r="31" spans="1:9">
      <c r="A31" s="412" t="s">
        <v>988</v>
      </c>
    </row>
    <row r="32" spans="1:9" ht="18">
      <c r="I32" s="433"/>
    </row>
    <row r="33" spans="1:9">
      <c r="A33" s="412" t="s">
        <v>989</v>
      </c>
    </row>
    <row r="34" spans="1:9">
      <c r="A34" s="412" t="s">
        <v>990</v>
      </c>
    </row>
    <row r="35" spans="1:9">
      <c r="A35" s="412" t="s">
        <v>991</v>
      </c>
    </row>
    <row r="37" spans="1:9" ht="15.5">
      <c r="A37" s="429" t="s">
        <v>992</v>
      </c>
      <c r="I37" s="412" t="s">
        <v>998</v>
      </c>
    </row>
    <row r="38" spans="1:9">
      <c r="A38" s="413" t="s">
        <v>993</v>
      </c>
      <c r="I38" s="412" t="s">
        <v>999</v>
      </c>
    </row>
    <row r="39" spans="1:9">
      <c r="A39" s="413" t="s">
        <v>994</v>
      </c>
      <c r="I39" s="412" t="s">
        <v>1000</v>
      </c>
    </row>
    <row r="40" spans="1:9">
      <c r="A40" s="413" t="s">
        <v>995</v>
      </c>
      <c r="I40" s="412" t="s">
        <v>1001</v>
      </c>
    </row>
    <row r="41" spans="1:9">
      <c r="A41" s="413" t="s">
        <v>996</v>
      </c>
      <c r="G41" s="273" t="s">
        <v>1067</v>
      </c>
    </row>
    <row r="42" spans="1:9">
      <c r="A42" s="412" t="s">
        <v>997</v>
      </c>
      <c r="G42" s="434">
        <f>$G$13+$G$22</f>
        <v>0.32450000000000001</v>
      </c>
      <c r="I42" s="412" t="s">
        <v>1002</v>
      </c>
    </row>
    <row r="43" spans="1:9">
      <c r="F43" s="435" t="s">
        <v>981</v>
      </c>
      <c r="G43" s="435">
        <v>0.32450000000000001</v>
      </c>
      <c r="I43" s="412" t="s">
        <v>1003</v>
      </c>
    </row>
    <row r="44" spans="1:9" ht="15.5">
      <c r="A44" s="429" t="s">
        <v>1004</v>
      </c>
      <c r="F44" s="10" t="s">
        <v>1025</v>
      </c>
    </row>
    <row r="45" spans="1:9">
      <c r="A45" s="430" t="s">
        <v>1005</v>
      </c>
      <c r="F45" s="10" t="s">
        <v>1026</v>
      </c>
    </row>
    <row r="46" spans="1:9">
      <c r="A46" s="431" t="s">
        <v>1006</v>
      </c>
      <c r="G46" s="439" t="s">
        <v>1022</v>
      </c>
      <c r="H46" s="441">
        <v>1600</v>
      </c>
    </row>
    <row r="47" spans="1:9">
      <c r="A47" s="431" t="s">
        <v>1007</v>
      </c>
      <c r="G47" s="437" t="s">
        <v>1023</v>
      </c>
      <c r="H47" s="438">
        <f>10%*H46</f>
        <v>160</v>
      </c>
    </row>
    <row r="48" spans="1:9">
      <c r="G48" s="439" t="s">
        <v>1024</v>
      </c>
      <c r="H48" s="441">
        <f>+H46-H47</f>
        <v>1440</v>
      </c>
    </row>
    <row r="49" spans="1:12">
      <c r="A49" s="431" t="s">
        <v>1008</v>
      </c>
      <c r="G49" s="437" t="s">
        <v>1027</v>
      </c>
      <c r="H49" s="438">
        <v>10.15</v>
      </c>
    </row>
    <row r="50" spans="1:12">
      <c r="A50" s="431" t="s">
        <v>1009</v>
      </c>
      <c r="G50" s="437" t="s">
        <v>1028</v>
      </c>
      <c r="H50" s="438">
        <v>151.66999999999999</v>
      </c>
    </row>
    <row r="51" spans="1:12">
      <c r="A51" s="431" t="s">
        <v>1010</v>
      </c>
      <c r="G51" s="439" t="s">
        <v>1029</v>
      </c>
      <c r="H51" s="440">
        <f>(G43/0.6)*((1.6*(H49*H50/H48))-1)</f>
        <v>0.38426238379629629</v>
      </c>
    </row>
    <row r="52" spans="1:12">
      <c r="A52" s="431" t="s">
        <v>1011</v>
      </c>
      <c r="G52" s="437" t="s">
        <v>1029</v>
      </c>
      <c r="H52" s="451">
        <f>MIN(G43,H51)</f>
        <v>0.32450000000000001</v>
      </c>
    </row>
    <row r="53" spans="1:12">
      <c r="A53" s="431" t="s">
        <v>1012</v>
      </c>
      <c r="G53" s="442" t="s">
        <v>1030</v>
      </c>
      <c r="H53" s="443">
        <f>H48*H52</f>
        <v>467.28000000000003</v>
      </c>
    </row>
    <row r="54" spans="1:12">
      <c r="A54" s="431" t="s">
        <v>1013</v>
      </c>
      <c r="G54" s="439" t="s">
        <v>1031</v>
      </c>
      <c r="H54" s="440">
        <f>(G43/0.6)*((1.6*(H49*H50/H46))-1)</f>
        <v>0.29175281208333337</v>
      </c>
      <c r="J54" t="s">
        <v>1038</v>
      </c>
    </row>
    <row r="55" spans="1:12">
      <c r="A55" s="431" t="s">
        <v>1014</v>
      </c>
      <c r="G55" s="442" t="s">
        <v>1032</v>
      </c>
      <c r="H55" s="443">
        <f>H46*H54</f>
        <v>466.80449933333341</v>
      </c>
    </row>
    <row r="56" spans="1:12">
      <c r="A56" s="431" t="s">
        <v>1015</v>
      </c>
      <c r="G56" s="439" t="s">
        <v>1033</v>
      </c>
      <c r="H56" s="441">
        <f>H55*1.3</f>
        <v>606.84584913333345</v>
      </c>
    </row>
    <row r="57" spans="1:12">
      <c r="A57" s="431" t="s">
        <v>1016</v>
      </c>
      <c r="G57" s="439" t="s">
        <v>1034</v>
      </c>
      <c r="H57" s="441">
        <f>MIN(H53,H56)</f>
        <v>467.28000000000003</v>
      </c>
    </row>
    <row r="58" spans="1:12">
      <c r="A58" s="431" t="s">
        <v>1017</v>
      </c>
      <c r="G58" s="437" t="s">
        <v>1035</v>
      </c>
      <c r="H58" s="438">
        <f>H57</f>
        <v>467.28000000000003</v>
      </c>
    </row>
    <row r="59" spans="1:12">
      <c r="A59" s="432" t="s">
        <v>1018</v>
      </c>
      <c r="G59" s="437" t="s">
        <v>1036</v>
      </c>
      <c r="H59" s="438">
        <f>H58*($G$13/G43)</f>
        <v>380.73600000000005</v>
      </c>
    </row>
    <row r="60" spans="1:12">
      <c r="A60" s="431" t="s">
        <v>1019</v>
      </c>
      <c r="G60" s="437" t="s">
        <v>1037</v>
      </c>
      <c r="H60" s="438">
        <f>H58*($G$22/G43)</f>
        <v>86.544000000000011</v>
      </c>
    </row>
    <row r="61" spans="1:12">
      <c r="A61" s="431" t="s">
        <v>1020</v>
      </c>
    </row>
    <row r="62" spans="1:12">
      <c r="A62" s="431" t="s">
        <v>1021</v>
      </c>
    </row>
    <row r="63" spans="1:12">
      <c r="F63" s="10"/>
    </row>
    <row r="64" spans="1:12">
      <c r="G64" s="434">
        <f>$G$13+$G$22</f>
        <v>0.32450000000000001</v>
      </c>
      <c r="L64" s="102"/>
    </row>
    <row r="65" spans="1:12">
      <c r="A65" s="430" t="s">
        <v>1039</v>
      </c>
      <c r="F65" s="435" t="s">
        <v>981</v>
      </c>
      <c r="G65" s="435">
        <v>0.32450000000000001</v>
      </c>
      <c r="L65" s="102"/>
    </row>
    <row r="66" spans="1:12">
      <c r="A66" s="431" t="s">
        <v>1040</v>
      </c>
      <c r="F66" s="10" t="s">
        <v>1025</v>
      </c>
      <c r="L66" s="102"/>
    </row>
    <row r="67" spans="1:12">
      <c r="A67" s="431" t="s">
        <v>1041</v>
      </c>
      <c r="F67" s="10" t="s">
        <v>1026</v>
      </c>
      <c r="L67" s="102"/>
    </row>
    <row r="68" spans="1:12">
      <c r="A68" s="431" t="s">
        <v>1008</v>
      </c>
      <c r="G68" s="439" t="s">
        <v>1022</v>
      </c>
      <c r="H68" s="441">
        <v>2000</v>
      </c>
    </row>
    <row r="69" spans="1:12">
      <c r="A69" s="431" t="s">
        <v>1012</v>
      </c>
      <c r="G69" s="444" t="s">
        <v>1052</v>
      </c>
      <c r="H69" s="438">
        <f>20%*H68</f>
        <v>400</v>
      </c>
    </row>
    <row r="70" spans="1:12">
      <c r="A70" s="431" t="s">
        <v>1042</v>
      </c>
      <c r="G70" s="439" t="s">
        <v>1024</v>
      </c>
      <c r="H70" s="441">
        <f>+H68-H69</f>
        <v>1600</v>
      </c>
    </row>
    <row r="71" spans="1:12">
      <c r="A71" s="431" t="s">
        <v>1043</v>
      </c>
      <c r="G71" s="437" t="s">
        <v>1027</v>
      </c>
      <c r="H71" s="438">
        <v>10.15</v>
      </c>
    </row>
    <row r="72" spans="1:12">
      <c r="A72" s="431" t="s">
        <v>1044</v>
      </c>
      <c r="G72" s="437" t="s">
        <v>1028</v>
      </c>
      <c r="H72" s="438">
        <v>151.66999999999999</v>
      </c>
      <c r="I72" s="445"/>
    </row>
    <row r="73" spans="1:12">
      <c r="A73" s="431" t="s">
        <v>1045</v>
      </c>
      <c r="G73" s="439" t="s">
        <v>1029</v>
      </c>
      <c r="H73" s="440">
        <f>(G65/0.6)*((1.6*(H71*H72/H70))-1)</f>
        <v>0.29175281208333337</v>
      </c>
    </row>
    <row r="74" spans="1:12">
      <c r="A74" s="431" t="s">
        <v>1033</v>
      </c>
      <c r="G74" s="437" t="s">
        <v>1029</v>
      </c>
      <c r="H74" s="451">
        <f>MIN(G65,H73)</f>
        <v>0.29175281208333337</v>
      </c>
    </row>
    <row r="75" spans="1:12">
      <c r="A75" s="431" t="s">
        <v>1046</v>
      </c>
      <c r="G75" s="442" t="s">
        <v>1030</v>
      </c>
      <c r="H75" s="443">
        <f>H70*H74</f>
        <v>466.80449933333341</v>
      </c>
    </row>
    <row r="76" spans="1:12">
      <c r="A76" s="431" t="s">
        <v>1016</v>
      </c>
      <c r="G76" s="439" t="s">
        <v>1031</v>
      </c>
      <c r="H76" s="440">
        <f>(G65/0.6)*((1.6*(H71*H72/H68))-1)</f>
        <v>0.12523558300000001</v>
      </c>
    </row>
    <row r="77" spans="1:12">
      <c r="A77" s="431" t="s">
        <v>1047</v>
      </c>
      <c r="G77" s="442" t="s">
        <v>1032</v>
      </c>
      <c r="H77" s="443">
        <f>H68*H76</f>
        <v>250.47116600000001</v>
      </c>
    </row>
    <row r="78" spans="1:12">
      <c r="A78" s="432" t="s">
        <v>1048</v>
      </c>
      <c r="G78" s="439" t="s">
        <v>1033</v>
      </c>
      <c r="H78" s="441">
        <f>H77*1.3</f>
        <v>325.61251580000004</v>
      </c>
    </row>
    <row r="79" spans="1:12">
      <c r="A79" s="431" t="s">
        <v>1049</v>
      </c>
      <c r="G79" s="439" t="s">
        <v>1034</v>
      </c>
      <c r="H79" s="441">
        <f>MIN(H75,H78)</f>
        <v>325.61251580000004</v>
      </c>
    </row>
    <row r="80" spans="1:12">
      <c r="A80" s="431" t="s">
        <v>1050</v>
      </c>
      <c r="G80" s="437" t="s">
        <v>1035</v>
      </c>
      <c r="H80" s="438">
        <f>H79</f>
        <v>325.61251580000004</v>
      </c>
    </row>
    <row r="81" spans="1:10">
      <c r="A81" s="431" t="s">
        <v>1051</v>
      </c>
      <c r="G81" s="437" t="s">
        <v>1036</v>
      </c>
      <c r="H81" s="438">
        <f>H80*($G$13/G65)</f>
        <v>265.30646896000002</v>
      </c>
    </row>
    <row r="82" spans="1:10">
      <c r="G82" s="437" t="s">
        <v>1037</v>
      </c>
      <c r="H82" s="438">
        <f>H80*($G$22/G65)</f>
        <v>60.306046840000008</v>
      </c>
    </row>
    <row r="85" spans="1:10">
      <c r="A85" s="430" t="s">
        <v>1039</v>
      </c>
    </row>
    <row r="86" spans="1:10">
      <c r="A86" s="431" t="s">
        <v>1053</v>
      </c>
      <c r="G86" s="434">
        <f>$G$13+$G$22</f>
        <v>0.32450000000000001</v>
      </c>
    </row>
    <row r="87" spans="1:10">
      <c r="A87" s="431" t="s">
        <v>1054</v>
      </c>
      <c r="F87" s="448" t="s">
        <v>981</v>
      </c>
      <c r="G87" s="448">
        <v>0.32450000000000001</v>
      </c>
    </row>
    <row r="88" spans="1:10">
      <c r="A88" s="431" t="s">
        <v>1008</v>
      </c>
      <c r="F88" s="10" t="s">
        <v>1025</v>
      </c>
    </row>
    <row r="89" spans="1:10">
      <c r="A89" s="431" t="s">
        <v>1055</v>
      </c>
      <c r="F89" s="10" t="s">
        <v>1026</v>
      </c>
    </row>
    <row r="90" spans="1:10">
      <c r="A90" s="431" t="s">
        <v>1056</v>
      </c>
      <c r="H90" s="447">
        <v>43831</v>
      </c>
      <c r="I90" s="447">
        <v>43862</v>
      </c>
      <c r="J90" s="273" t="s">
        <v>1066</v>
      </c>
    </row>
    <row r="91" spans="1:10">
      <c r="A91" s="431" t="s">
        <v>1043</v>
      </c>
      <c r="G91" s="439" t="s">
        <v>1065</v>
      </c>
      <c r="H91" s="441">
        <v>2000</v>
      </c>
      <c r="I91" s="441">
        <v>2200</v>
      </c>
      <c r="J91" s="441">
        <f>H91+I91</f>
        <v>4200</v>
      </c>
    </row>
    <row r="92" spans="1:10">
      <c r="A92" s="431" t="s">
        <v>1057</v>
      </c>
      <c r="G92" s="444" t="s">
        <v>1052</v>
      </c>
      <c r="H92" s="438">
        <v>400</v>
      </c>
      <c r="I92" s="438">
        <f>20%*I91</f>
        <v>440</v>
      </c>
      <c r="J92" s="438">
        <f>20%*J91</f>
        <v>840</v>
      </c>
    </row>
    <row r="93" spans="1:10">
      <c r="A93" s="431" t="s">
        <v>1058</v>
      </c>
      <c r="G93" s="439" t="s">
        <v>1024</v>
      </c>
      <c r="H93" s="441">
        <v>1600</v>
      </c>
      <c r="I93" s="441">
        <f>+I91-I92</f>
        <v>1760</v>
      </c>
      <c r="J93" s="441">
        <f>+H93+I93</f>
        <v>3360</v>
      </c>
    </row>
    <row r="94" spans="1:10">
      <c r="A94" s="431" t="s">
        <v>1033</v>
      </c>
      <c r="G94" s="437" t="s">
        <v>1027</v>
      </c>
      <c r="H94" s="438">
        <v>10.15</v>
      </c>
      <c r="I94" s="438">
        <v>10.15</v>
      </c>
      <c r="J94" s="438">
        <v>10.15</v>
      </c>
    </row>
    <row r="95" spans="1:10">
      <c r="A95" s="431" t="s">
        <v>1059</v>
      </c>
      <c r="G95" s="437" t="s">
        <v>1028</v>
      </c>
      <c r="H95" s="438">
        <v>151.66999999999999</v>
      </c>
      <c r="I95" s="438">
        <v>151.66999999999999</v>
      </c>
      <c r="J95" s="438">
        <f>+H95+I95</f>
        <v>303.33999999999997</v>
      </c>
    </row>
    <row r="96" spans="1:10">
      <c r="A96" s="446" t="s">
        <v>1060</v>
      </c>
      <c r="G96" s="439" t="s">
        <v>1029</v>
      </c>
      <c r="H96" s="440">
        <v>0.29175281208333337</v>
      </c>
      <c r="I96" s="440">
        <f>(G87/0.6)*((1.6*(I94*I95/I93))-1)</f>
        <v>0.21606316250000004</v>
      </c>
      <c r="J96" s="440">
        <f>($G$87/0.6)*((1.6*(J94*J95/J93))-1)</f>
        <v>0.25210585277777781</v>
      </c>
    </row>
    <row r="97" spans="1:10">
      <c r="A97" s="431" t="s">
        <v>1016</v>
      </c>
      <c r="G97" s="437" t="s">
        <v>1029</v>
      </c>
      <c r="H97" s="451">
        <v>0.29175281208333337</v>
      </c>
      <c r="I97" s="451">
        <f>MIN(G87,I96)</f>
        <v>0.21606316250000004</v>
      </c>
      <c r="J97" s="451">
        <f>MIN($G$87,J96)</f>
        <v>0.25210585277777781</v>
      </c>
    </row>
    <row r="98" spans="1:10">
      <c r="A98" s="431" t="s">
        <v>1061</v>
      </c>
      <c r="G98" s="442" t="s">
        <v>1030</v>
      </c>
      <c r="H98" s="443">
        <v>466.80449933333341</v>
      </c>
      <c r="I98" s="443">
        <f>I93*I97</f>
        <v>380.27116600000005</v>
      </c>
      <c r="J98" s="443">
        <f>J93*J97</f>
        <v>847.0756653333334</v>
      </c>
    </row>
    <row r="99" spans="1:10">
      <c r="A99" s="432" t="s">
        <v>1048</v>
      </c>
      <c r="G99" s="439" t="s">
        <v>1031</v>
      </c>
      <c r="H99" s="440">
        <v>0.12523558300000001</v>
      </c>
      <c r="I99" s="440">
        <f>(G87/0.6)*((1.6*(I94*I95/I91))-1)</f>
        <v>6.4683863333333327E-2</v>
      </c>
      <c r="J99" s="440">
        <f>($G$87/0.6)*((1.6*(J94*J95/J91))-1)</f>
        <v>9.3518015555555625E-2</v>
      </c>
    </row>
    <row r="100" spans="1:10">
      <c r="A100" s="431" t="s">
        <v>1062</v>
      </c>
      <c r="G100" s="442" t="s">
        <v>1032</v>
      </c>
      <c r="H100" s="443">
        <v>250.47116600000001</v>
      </c>
      <c r="I100" s="443">
        <f>I91*I99</f>
        <v>142.30449933333333</v>
      </c>
      <c r="J100" s="443">
        <f>J91*J99</f>
        <v>392.77566533333362</v>
      </c>
    </row>
    <row r="101" spans="1:10">
      <c r="A101" s="431" t="s">
        <v>1063</v>
      </c>
      <c r="G101" s="439" t="s">
        <v>1033</v>
      </c>
      <c r="H101" s="441">
        <v>325.61251580000004</v>
      </c>
      <c r="I101" s="441">
        <f>I100*1.3</f>
        <v>184.99584913333334</v>
      </c>
      <c r="J101" s="441">
        <f>J100*1.3</f>
        <v>510.60836493333375</v>
      </c>
    </row>
    <row r="102" spans="1:10">
      <c r="A102" s="431" t="s">
        <v>1064</v>
      </c>
      <c r="G102" s="439" t="s">
        <v>1034</v>
      </c>
      <c r="H102" s="441">
        <v>325.61251580000004</v>
      </c>
      <c r="I102" s="441">
        <f>MIN(I98,I101)</f>
        <v>184.99584913333334</v>
      </c>
      <c r="J102" s="441">
        <f>MIN(J98,J101)</f>
        <v>510.60836493333375</v>
      </c>
    </row>
    <row r="103" spans="1:10">
      <c r="G103" s="437" t="s">
        <v>1035</v>
      </c>
      <c r="H103" s="438">
        <v>325.61251580000004</v>
      </c>
      <c r="I103" s="438">
        <f>I102</f>
        <v>184.99584913333334</v>
      </c>
      <c r="J103" s="438">
        <f>J102-H102</f>
        <v>184.99584913333371</v>
      </c>
    </row>
    <row r="104" spans="1:10">
      <c r="G104" s="437" t="s">
        <v>1036</v>
      </c>
      <c r="H104" s="438">
        <v>265.30646896000002</v>
      </c>
      <c r="I104" s="438">
        <f>I103*($G$13/G87)</f>
        <v>150.73313562666667</v>
      </c>
      <c r="J104" s="438">
        <f>J103*($G$13/G87)</f>
        <v>150.73313562666698</v>
      </c>
    </row>
    <row r="105" spans="1:10">
      <c r="G105" s="437" t="s">
        <v>1037</v>
      </c>
      <c r="H105" s="438">
        <v>60.306046840000008</v>
      </c>
      <c r="I105" s="438">
        <f>I103*($G$22/G87)</f>
        <v>34.262713506666671</v>
      </c>
      <c r="J105" s="438">
        <f>J103*($G$22/G87)</f>
        <v>34.262713506666735</v>
      </c>
    </row>
    <row r="111" spans="1:10" ht="15.5">
      <c r="A111" s="429" t="s">
        <v>1068</v>
      </c>
    </row>
    <row r="112" spans="1:10">
      <c r="A112" s="412" t="s">
        <v>1069</v>
      </c>
    </row>
    <row r="113" spans="1:9">
      <c r="A113" s="412" t="s">
        <v>1070</v>
      </c>
    </row>
    <row r="114" spans="1:9">
      <c r="A114" s="412" t="s">
        <v>1071</v>
      </c>
    </row>
    <row r="115" spans="1:9">
      <c r="A115" s="446" t="s">
        <v>1072</v>
      </c>
      <c r="H115" s="273" t="s">
        <v>1067</v>
      </c>
      <c r="I115" s="102"/>
    </row>
    <row r="116" spans="1:9">
      <c r="A116" s="430" t="s">
        <v>1073</v>
      </c>
      <c r="H116" s="434">
        <f>$G$13+$G$22</f>
        <v>0.32450000000000001</v>
      </c>
      <c r="I116" s="102"/>
    </row>
    <row r="117" spans="1:9">
      <c r="A117" s="431" t="s">
        <v>1074</v>
      </c>
      <c r="G117" s="435" t="s">
        <v>981</v>
      </c>
      <c r="H117" s="435">
        <v>0.32450000000000001</v>
      </c>
      <c r="I117" s="102"/>
    </row>
    <row r="118" spans="1:9">
      <c r="A118" s="431" t="s">
        <v>1075</v>
      </c>
      <c r="G118" s="10" t="s">
        <v>1025</v>
      </c>
      <c r="H118"/>
      <c r="I118" s="102"/>
    </row>
    <row r="119" spans="1:9">
      <c r="A119" s="431" t="s">
        <v>1076</v>
      </c>
      <c r="G119" s="10" t="s">
        <v>1026</v>
      </c>
      <c r="H119"/>
      <c r="I119" s="102"/>
    </row>
    <row r="120" spans="1:9">
      <c r="A120" s="450" t="s">
        <v>1077</v>
      </c>
      <c r="G120" s="439" t="s">
        <v>1022</v>
      </c>
      <c r="H120" s="441">
        <v>1600</v>
      </c>
    </row>
    <row r="121" spans="1:9">
      <c r="A121" s="449" t="s">
        <v>1078</v>
      </c>
      <c r="G121" s="439" t="s">
        <v>1092</v>
      </c>
      <c r="H121" s="441">
        <v>100</v>
      </c>
    </row>
    <row r="122" spans="1:9">
      <c r="A122" s="449" t="s">
        <v>1079</v>
      </c>
      <c r="G122" s="437" t="s">
        <v>1023</v>
      </c>
      <c r="H122" s="438">
        <f>10%*(H120+H121)</f>
        <v>170</v>
      </c>
    </row>
    <row r="123" spans="1:9">
      <c r="A123" s="449" t="s">
        <v>1080</v>
      </c>
      <c r="G123" s="439" t="s">
        <v>1024</v>
      </c>
      <c r="H123" s="441">
        <f>(H120+H121)-H122</f>
        <v>1530</v>
      </c>
    </row>
    <row r="124" spans="1:9">
      <c r="A124" s="450" t="s">
        <v>1081</v>
      </c>
      <c r="G124" s="437" t="s">
        <v>1027</v>
      </c>
      <c r="H124" s="438">
        <v>10.15</v>
      </c>
    </row>
    <row r="125" spans="1:9">
      <c r="A125" s="449" t="s">
        <v>1082</v>
      </c>
      <c r="G125" s="437" t="s">
        <v>1028</v>
      </c>
      <c r="H125" s="438">
        <v>151.66999999999999</v>
      </c>
    </row>
    <row r="126" spans="1:9">
      <c r="A126" s="449" t="s">
        <v>1083</v>
      </c>
      <c r="G126" s="439" t="s">
        <v>1029</v>
      </c>
      <c r="H126" s="440">
        <f>(H117/0.6)*((1.6*(H124*H125/H123))-1)</f>
        <v>0.32984498867102396</v>
      </c>
    </row>
    <row r="127" spans="1:9">
      <c r="A127" s="449" t="s">
        <v>1084</v>
      </c>
      <c r="G127" s="437" t="s">
        <v>1029</v>
      </c>
      <c r="H127" s="451">
        <f>MIN(H117,H126)</f>
        <v>0.32450000000000001</v>
      </c>
    </row>
    <row r="128" spans="1:9">
      <c r="A128" s="450" t="s">
        <v>1085</v>
      </c>
      <c r="G128" s="442" t="s">
        <v>1030</v>
      </c>
      <c r="H128" s="443">
        <f>H123*H126</f>
        <v>504.66283266666665</v>
      </c>
    </row>
    <row r="129" spans="1:8">
      <c r="A129" s="449" t="s">
        <v>1086</v>
      </c>
      <c r="G129" s="439" t="s">
        <v>1031</v>
      </c>
      <c r="H129" s="440">
        <f>(H117/0.6)*((1.6*(H124*H125/H120))-1)</f>
        <v>0.29175281208333337</v>
      </c>
    </row>
    <row r="130" spans="1:8">
      <c r="A130" s="449" t="s">
        <v>1087</v>
      </c>
      <c r="G130" s="442" t="s">
        <v>1032</v>
      </c>
      <c r="H130" s="443">
        <f>H120*H129</f>
        <v>466.80449933333341</v>
      </c>
    </row>
    <row r="131" spans="1:8">
      <c r="A131" s="450" t="s">
        <v>1088</v>
      </c>
      <c r="G131" s="439" t="s">
        <v>1033</v>
      </c>
      <c r="H131" s="441">
        <f>H130*1.3</f>
        <v>606.84584913333345</v>
      </c>
    </row>
    <row r="132" spans="1:8">
      <c r="A132" s="431" t="s">
        <v>1089</v>
      </c>
      <c r="G132" s="439" t="s">
        <v>1034</v>
      </c>
      <c r="H132" s="441">
        <f>MIN(H128,H131)</f>
        <v>504.66283266666665</v>
      </c>
    </row>
    <row r="133" spans="1:8">
      <c r="A133" s="431" t="s">
        <v>1090</v>
      </c>
      <c r="G133" s="437" t="s">
        <v>1035</v>
      </c>
      <c r="H133" s="438">
        <f>H132</f>
        <v>504.66283266666665</v>
      </c>
    </row>
    <row r="134" spans="1:8">
      <c r="A134" s="450" t="s">
        <v>1091</v>
      </c>
      <c r="G134" s="437" t="s">
        <v>1036</v>
      </c>
      <c r="H134" s="438">
        <f>H133*($G$13/H117)</f>
        <v>411.1952325333333</v>
      </c>
    </row>
    <row r="135" spans="1:8">
      <c r="G135" s="437" t="s">
        <v>1037</v>
      </c>
      <c r="H135" s="438">
        <f>H133*($G$22/H117)</f>
        <v>93.467600133333335</v>
      </c>
    </row>
    <row r="138" spans="1:8" ht="15.5">
      <c r="A138" s="462">
        <v>44531</v>
      </c>
    </row>
    <row r="139" spans="1:8">
      <c r="A139" s="414" t="s">
        <v>977</v>
      </c>
    </row>
    <row r="140" spans="1:8" ht="17.5">
      <c r="A140" s="484" t="s">
        <v>1170</v>
      </c>
      <c r="B140" s="76"/>
      <c r="C140" s="76"/>
    </row>
    <row r="141" spans="1:8">
      <c r="A141" s="485" t="s">
        <v>1171</v>
      </c>
      <c r="B141" s="76"/>
      <c r="C141" s="76"/>
    </row>
    <row r="142" spans="1:8">
      <c r="A142" s="485" t="s">
        <v>1172</v>
      </c>
      <c r="B142" s="76"/>
      <c r="C142" s="76"/>
    </row>
    <row r="143" spans="1:8">
      <c r="A143" s="485" t="s">
        <v>1173</v>
      </c>
      <c r="B143" s="76"/>
      <c r="C143" s="76"/>
    </row>
    <row r="145" spans="1:9">
      <c r="A145" s="412" t="s">
        <v>1168</v>
      </c>
    </row>
    <row r="146" spans="1:9">
      <c r="A146" s="413" t="s">
        <v>1169</v>
      </c>
    </row>
    <row r="147" spans="1:9">
      <c r="C147" s="102"/>
    </row>
    <row r="148" spans="1:9">
      <c r="B148" s="273" t="s">
        <v>1067</v>
      </c>
      <c r="C148" s="102"/>
    </row>
    <row r="149" spans="1:9">
      <c r="A149" s="435" t="s">
        <v>981</v>
      </c>
      <c r="B149" s="435">
        <v>0.3246</v>
      </c>
      <c r="C149" s="102"/>
    </row>
    <row r="150" spans="1:9">
      <c r="A150" s="10" t="s">
        <v>1175</v>
      </c>
      <c r="C150" s="102"/>
    </row>
    <row r="151" spans="1:9">
      <c r="A151" s="486" t="s">
        <v>1174</v>
      </c>
      <c r="C151" s="102"/>
    </row>
    <row r="153" spans="1:9">
      <c r="G153" s="454" t="s">
        <v>1093</v>
      </c>
    </row>
    <row r="154" spans="1:9" ht="17.5">
      <c r="A154" s="380" t="s">
        <v>969</v>
      </c>
      <c r="G154" s="454" t="s">
        <v>1177</v>
      </c>
      <c r="H154" s="455"/>
      <c r="I154" s="456"/>
    </row>
    <row r="155" spans="1:9">
      <c r="A155" s="412" t="s">
        <v>970</v>
      </c>
      <c r="G155" s="523">
        <v>0.26450000000000001</v>
      </c>
    </row>
    <row r="156" spans="1:9">
      <c r="A156" s="413" t="s">
        <v>971</v>
      </c>
      <c r="G156" s="523"/>
    </row>
    <row r="157" spans="1:9">
      <c r="A157" s="413" t="s">
        <v>972</v>
      </c>
      <c r="G157" s="523"/>
    </row>
    <row r="158" spans="1:9">
      <c r="A158" s="413" t="s">
        <v>973</v>
      </c>
      <c r="G158" s="523"/>
    </row>
    <row r="159" spans="1:9">
      <c r="A159" s="413" t="s">
        <v>974</v>
      </c>
      <c r="G159" s="523"/>
      <c r="H159" s="487"/>
      <c r="I159" s="488"/>
    </row>
    <row r="160" spans="1:9">
      <c r="A160" s="413" t="s">
        <v>975</v>
      </c>
      <c r="G160" s="523"/>
    </row>
    <row r="161" spans="1:9">
      <c r="A161" s="413" t="s">
        <v>976</v>
      </c>
      <c r="G161" s="523"/>
    </row>
    <row r="162" spans="1:9">
      <c r="A162" s="414" t="s">
        <v>1176</v>
      </c>
      <c r="G162" s="523"/>
    </row>
    <row r="163" spans="1:9">
      <c r="A163" s="413" t="s">
        <v>978</v>
      </c>
      <c r="G163" s="523"/>
    </row>
    <row r="164" spans="1:9">
      <c r="A164" s="413" t="s">
        <v>979</v>
      </c>
      <c r="G164" s="436">
        <v>6.0100000000000001E-2</v>
      </c>
    </row>
    <row r="165" spans="1:9" ht="15" thickBot="1">
      <c r="A165" s="412" t="s">
        <v>980</v>
      </c>
    </row>
    <row r="166" spans="1:9" ht="15" thickBot="1">
      <c r="A166" s="426" t="s">
        <v>982</v>
      </c>
      <c r="B166" s="427"/>
      <c r="C166" s="427"/>
      <c r="D166" s="428"/>
      <c r="G166" s="10" t="s">
        <v>1025</v>
      </c>
    </row>
    <row r="167" spans="1:9" ht="15" thickBot="1">
      <c r="A167" s="423" t="s">
        <v>983</v>
      </c>
      <c r="B167" s="424"/>
      <c r="C167" s="424"/>
      <c r="D167" s="425"/>
      <c r="G167" s="10" t="s">
        <v>1026</v>
      </c>
    </row>
    <row r="169" spans="1:9" ht="17.5">
      <c r="A169" s="380" t="s">
        <v>984</v>
      </c>
    </row>
    <row r="170" spans="1:9" ht="17.5">
      <c r="A170" s="380" t="s">
        <v>985</v>
      </c>
    </row>
    <row r="171" spans="1:9">
      <c r="A171" s="412" t="s">
        <v>986</v>
      </c>
    </row>
    <row r="172" spans="1:9">
      <c r="A172" s="412" t="s">
        <v>987</v>
      </c>
    </row>
    <row r="173" spans="1:9">
      <c r="A173" s="412" t="s">
        <v>988</v>
      </c>
    </row>
    <row r="174" spans="1:9" ht="18">
      <c r="I174" s="433"/>
    </row>
    <row r="175" spans="1:9">
      <c r="A175" s="412" t="s">
        <v>989</v>
      </c>
    </row>
    <row r="176" spans="1:9">
      <c r="A176" s="412" t="s">
        <v>990</v>
      </c>
    </row>
    <row r="177" spans="1:10">
      <c r="A177" s="412" t="s">
        <v>991</v>
      </c>
    </row>
    <row r="179" spans="1:10" ht="15.5">
      <c r="A179" s="429" t="s">
        <v>992</v>
      </c>
    </row>
    <row r="180" spans="1:10">
      <c r="A180" s="413" t="s">
        <v>993</v>
      </c>
    </row>
    <row r="181" spans="1:10">
      <c r="A181" s="413" t="s">
        <v>994</v>
      </c>
    </row>
    <row r="182" spans="1:10">
      <c r="A182" s="413" t="s">
        <v>995</v>
      </c>
    </row>
    <row r="183" spans="1:10">
      <c r="A183" s="413" t="s">
        <v>996</v>
      </c>
      <c r="G183" s="273" t="s">
        <v>1067</v>
      </c>
    </row>
    <row r="184" spans="1:10">
      <c r="A184" s="412" t="s">
        <v>997</v>
      </c>
      <c r="G184" s="434">
        <f>G155+G164</f>
        <v>0.3246</v>
      </c>
    </row>
    <row r="185" spans="1:10">
      <c r="F185" s="435" t="s">
        <v>981</v>
      </c>
      <c r="G185" s="435">
        <v>0.3246</v>
      </c>
    </row>
    <row r="186" spans="1:10" ht="15.5">
      <c r="A186" s="429" t="s">
        <v>1004</v>
      </c>
      <c r="F186" s="10" t="s">
        <v>1025</v>
      </c>
    </row>
    <row r="187" spans="1:10">
      <c r="A187" s="431" t="s">
        <v>1178</v>
      </c>
      <c r="F187" s="10" t="s">
        <v>1026</v>
      </c>
    </row>
    <row r="188" spans="1:10">
      <c r="A188" s="430" t="s">
        <v>1005</v>
      </c>
      <c r="G188" s="439" t="s">
        <v>1208</v>
      </c>
      <c r="H188" s="441">
        <v>1600</v>
      </c>
    </row>
    <row r="189" spans="1:10">
      <c r="A189" s="431" t="s">
        <v>1179</v>
      </c>
      <c r="G189" s="437" t="s">
        <v>1023</v>
      </c>
      <c r="H189" s="438">
        <f>10%*H188</f>
        <v>160</v>
      </c>
    </row>
    <row r="190" spans="1:10">
      <c r="A190" s="431" t="s">
        <v>1007</v>
      </c>
      <c r="G190" s="439" t="s">
        <v>1024</v>
      </c>
      <c r="H190" s="441">
        <f>+H188-H189</f>
        <v>1440</v>
      </c>
    </row>
    <row r="191" spans="1:10">
      <c r="A191" s="431" t="s">
        <v>1008</v>
      </c>
      <c r="G191" s="437" t="s">
        <v>1027</v>
      </c>
      <c r="H191" s="438">
        <v>10.48</v>
      </c>
    </row>
    <row r="192" spans="1:10">
      <c r="A192" s="431" t="s">
        <v>1180</v>
      </c>
      <c r="G192" s="437" t="s">
        <v>1028</v>
      </c>
      <c r="H192" s="438">
        <v>151.66999999999999</v>
      </c>
      <c r="J192" s="254"/>
    </row>
    <row r="193" spans="1:10">
      <c r="A193" s="431" t="s">
        <v>1181</v>
      </c>
      <c r="G193" s="439" t="s">
        <v>1029</v>
      </c>
      <c r="H193" s="440">
        <f>(G185/0.6)*((1.6*(H191*H192/H190))-1)</f>
        <v>0.41446707288888879</v>
      </c>
    </row>
    <row r="194" spans="1:10">
      <c r="A194" s="431" t="s">
        <v>1011</v>
      </c>
      <c r="G194" s="437" t="s">
        <v>1029</v>
      </c>
      <c r="H194" s="451">
        <f>MIN(G185,H193)</f>
        <v>0.3246</v>
      </c>
    </row>
    <row r="195" spans="1:10">
      <c r="A195" s="431" t="s">
        <v>1182</v>
      </c>
      <c r="G195" s="442" t="s">
        <v>1030</v>
      </c>
      <c r="H195" s="443">
        <f>H190*H194</f>
        <v>467.42399999999998</v>
      </c>
    </row>
    <row r="196" spans="1:10">
      <c r="A196" s="431" t="s">
        <v>1183</v>
      </c>
      <c r="G196" s="439" t="s">
        <v>1031</v>
      </c>
      <c r="H196" s="440">
        <f>(G185/0.6)*((1.6*(H191*H192/H188))-1)</f>
        <v>0.31892036559999998</v>
      </c>
      <c r="J196" t="s">
        <v>1038</v>
      </c>
    </row>
    <row r="197" spans="1:10">
      <c r="A197" s="431" t="s">
        <v>1014</v>
      </c>
      <c r="G197" s="442" t="s">
        <v>1032</v>
      </c>
      <c r="H197" s="443">
        <f>H188*H196</f>
        <v>510.27258495999996</v>
      </c>
    </row>
    <row r="198" spans="1:10">
      <c r="A198" s="431" t="s">
        <v>1184</v>
      </c>
      <c r="G198" s="439" t="s">
        <v>1033</v>
      </c>
      <c r="H198" s="441">
        <f>H197*1.3</f>
        <v>663.35436044799997</v>
      </c>
    </row>
    <row r="199" spans="1:10">
      <c r="A199" s="431" t="s">
        <v>1016</v>
      </c>
      <c r="G199" s="439" t="s">
        <v>1034</v>
      </c>
      <c r="H199" s="441">
        <f>MIN(H195,H198)</f>
        <v>467.42399999999998</v>
      </c>
    </row>
    <row r="200" spans="1:10">
      <c r="A200" s="431" t="s">
        <v>1185</v>
      </c>
      <c r="G200" s="437" t="s">
        <v>1035</v>
      </c>
      <c r="H200" s="438">
        <f>H199</f>
        <v>467.42399999999998</v>
      </c>
    </row>
    <row r="201" spans="1:10">
      <c r="A201" s="432" t="s">
        <v>1018</v>
      </c>
      <c r="G201" s="437" t="s">
        <v>1036</v>
      </c>
      <c r="H201" s="438">
        <f>H200*($G$13/G185)</f>
        <v>380.73599999999999</v>
      </c>
    </row>
    <row r="202" spans="1:10">
      <c r="A202" s="431" t="s">
        <v>1186</v>
      </c>
      <c r="G202" s="437" t="s">
        <v>1037</v>
      </c>
      <c r="H202" s="438">
        <f>H200*($G$22/G185)</f>
        <v>86.543999999999997</v>
      </c>
    </row>
    <row r="203" spans="1:10">
      <c r="A203" s="431" t="s">
        <v>1187</v>
      </c>
    </row>
    <row r="204" spans="1:10">
      <c r="A204" s="431" t="s">
        <v>1188</v>
      </c>
    </row>
    <row r="205" spans="1:10">
      <c r="F205" s="10"/>
    </row>
    <row r="206" spans="1:10">
      <c r="G206" s="434">
        <v>0.3246</v>
      </c>
    </row>
    <row r="207" spans="1:10">
      <c r="A207" s="430" t="s">
        <v>1039</v>
      </c>
      <c r="F207" s="435" t="s">
        <v>981</v>
      </c>
      <c r="G207" s="435">
        <v>0.3246</v>
      </c>
    </row>
    <row r="208" spans="1:10">
      <c r="A208" s="431" t="s">
        <v>1189</v>
      </c>
      <c r="F208" s="10" t="s">
        <v>1025</v>
      </c>
    </row>
    <row r="209" spans="1:9">
      <c r="A209" s="431" t="s">
        <v>1041</v>
      </c>
      <c r="F209" s="10" t="s">
        <v>1026</v>
      </c>
    </row>
    <row r="210" spans="1:9">
      <c r="A210" s="431" t="s">
        <v>1008</v>
      </c>
      <c r="G210" s="439" t="s">
        <v>1208</v>
      </c>
      <c r="H210" s="441">
        <v>2000</v>
      </c>
    </row>
    <row r="211" spans="1:9">
      <c r="A211" s="431" t="s">
        <v>1182</v>
      </c>
      <c r="G211" s="444" t="s">
        <v>1052</v>
      </c>
      <c r="H211" s="438">
        <f>20%*H210</f>
        <v>400</v>
      </c>
    </row>
    <row r="212" spans="1:9">
      <c r="A212" s="431" t="s">
        <v>1190</v>
      </c>
      <c r="G212" s="439" t="s">
        <v>1024</v>
      </c>
      <c r="H212" s="441">
        <f>+H210-H211</f>
        <v>1600</v>
      </c>
    </row>
    <row r="213" spans="1:9">
      <c r="A213" s="431" t="s">
        <v>1043</v>
      </c>
      <c r="G213" s="437" t="s">
        <v>1027</v>
      </c>
      <c r="H213" s="438">
        <v>10.48</v>
      </c>
    </row>
    <row r="214" spans="1:9">
      <c r="A214" s="431" t="s">
        <v>1191</v>
      </c>
      <c r="G214" s="437" t="s">
        <v>1028</v>
      </c>
      <c r="H214" s="438">
        <v>151.66999999999999</v>
      </c>
      <c r="I214" s="445"/>
    </row>
    <row r="215" spans="1:9">
      <c r="A215" s="431" t="s">
        <v>1192</v>
      </c>
      <c r="G215" s="439" t="s">
        <v>1029</v>
      </c>
      <c r="H215" s="440">
        <f>(G207/0.6)*((1.6*(H213*H214/H212))-1)</f>
        <v>0.31892036559999998</v>
      </c>
    </row>
    <row r="216" spans="1:9">
      <c r="A216" s="431" t="s">
        <v>1033</v>
      </c>
      <c r="G216" s="437" t="s">
        <v>1029</v>
      </c>
      <c r="H216" s="451">
        <f>MIN(G207,H215)</f>
        <v>0.31892036559999998</v>
      </c>
    </row>
    <row r="217" spans="1:9">
      <c r="A217" s="431" t="s">
        <v>1193</v>
      </c>
      <c r="G217" s="442" t="s">
        <v>1030</v>
      </c>
      <c r="H217" s="443">
        <f>H212*H216</f>
        <v>510.27258495999996</v>
      </c>
    </row>
    <row r="218" spans="1:9">
      <c r="A218" s="431" t="s">
        <v>1016</v>
      </c>
      <c r="G218" s="439" t="s">
        <v>1031</v>
      </c>
      <c r="H218" s="440">
        <f>(G207/0.6)*((1.6*(H213*H214/H210))-1)</f>
        <v>0.14693629247999992</v>
      </c>
    </row>
    <row r="219" spans="1:9">
      <c r="A219" s="431" t="s">
        <v>1194</v>
      </c>
      <c r="G219" s="442" t="s">
        <v>1032</v>
      </c>
      <c r="H219" s="443">
        <f>H210*H218</f>
        <v>293.87258495999987</v>
      </c>
    </row>
    <row r="220" spans="1:9">
      <c r="A220" s="432" t="s">
        <v>1048</v>
      </c>
      <c r="G220" s="439" t="s">
        <v>1033</v>
      </c>
      <c r="H220" s="441">
        <f>H219*1.3</f>
        <v>382.03436044799986</v>
      </c>
    </row>
    <row r="221" spans="1:9">
      <c r="A221" s="431" t="s">
        <v>1195</v>
      </c>
      <c r="G221" s="439" t="s">
        <v>1034</v>
      </c>
      <c r="H221" s="441">
        <f>MIN(H217,H220)</f>
        <v>382.03436044799986</v>
      </c>
    </row>
    <row r="222" spans="1:9">
      <c r="A222" s="431" t="s">
        <v>1196</v>
      </c>
      <c r="G222" s="437" t="s">
        <v>1035</v>
      </c>
      <c r="H222" s="438">
        <f>H221</f>
        <v>382.03436044799986</v>
      </c>
    </row>
    <row r="223" spans="1:9">
      <c r="A223" s="431" t="s">
        <v>1197</v>
      </c>
      <c r="G223" s="437" t="s">
        <v>1036</v>
      </c>
      <c r="H223" s="438">
        <f>H222*($G$13/G207)</f>
        <v>311.18263987199992</v>
      </c>
    </row>
    <row r="224" spans="1:9">
      <c r="G224" s="437" t="s">
        <v>1037</v>
      </c>
      <c r="H224" s="438">
        <f>H222*($G$22/G207)</f>
        <v>70.734026687999972</v>
      </c>
    </row>
    <row r="227" spans="1:10">
      <c r="A227" s="431" t="s">
        <v>1198</v>
      </c>
    </row>
    <row r="228" spans="1:10">
      <c r="A228" s="431" t="s">
        <v>1054</v>
      </c>
      <c r="G228" s="434">
        <v>0.3246</v>
      </c>
    </row>
    <row r="229" spans="1:10">
      <c r="A229" s="431" t="s">
        <v>1008</v>
      </c>
      <c r="F229" s="448" t="s">
        <v>981</v>
      </c>
      <c r="G229" s="448">
        <v>0.3246</v>
      </c>
    </row>
    <row r="230" spans="1:10">
      <c r="A230" s="431" t="s">
        <v>1199</v>
      </c>
      <c r="F230" s="10" t="s">
        <v>1025</v>
      </c>
    </row>
    <row r="231" spans="1:10">
      <c r="A231" s="431" t="s">
        <v>1200</v>
      </c>
      <c r="F231" s="10" t="s">
        <v>1026</v>
      </c>
    </row>
    <row r="232" spans="1:10">
      <c r="A232" s="431" t="s">
        <v>1043</v>
      </c>
      <c r="H232" s="447">
        <v>44197</v>
      </c>
      <c r="I232" s="447">
        <v>44228</v>
      </c>
      <c r="J232" s="273" t="s">
        <v>1066</v>
      </c>
    </row>
    <row r="233" spans="1:10">
      <c r="A233" s="431" t="s">
        <v>1201</v>
      </c>
      <c r="G233" s="439" t="s">
        <v>1065</v>
      </c>
      <c r="H233" s="441">
        <v>2000</v>
      </c>
      <c r="I233" s="441">
        <v>2200</v>
      </c>
      <c r="J233" s="441">
        <f>H233+I233</f>
        <v>4200</v>
      </c>
    </row>
    <row r="234" spans="1:10">
      <c r="A234" s="431" t="s">
        <v>1202</v>
      </c>
      <c r="G234" s="444" t="s">
        <v>1052</v>
      </c>
      <c r="H234" s="438">
        <v>400</v>
      </c>
      <c r="I234" s="438">
        <f>20%*I233</f>
        <v>440</v>
      </c>
      <c r="J234" s="438">
        <f>20%*J233</f>
        <v>840</v>
      </c>
    </row>
    <row r="235" spans="1:10">
      <c r="A235" s="431" t="s">
        <v>1033</v>
      </c>
      <c r="G235" s="439" t="s">
        <v>1024</v>
      </c>
      <c r="H235" s="441">
        <v>1600</v>
      </c>
      <c r="I235" s="441">
        <f>+I233-I234</f>
        <v>1760</v>
      </c>
      <c r="J235" s="441">
        <f>+H235+I235</f>
        <v>3360</v>
      </c>
    </row>
    <row r="236" spans="1:10">
      <c r="A236" s="431" t="s">
        <v>1203</v>
      </c>
      <c r="G236" s="437" t="s">
        <v>1027</v>
      </c>
      <c r="H236" s="438">
        <v>10.48</v>
      </c>
      <c r="I236" s="438">
        <v>10.48</v>
      </c>
      <c r="J236" s="438">
        <v>10.48</v>
      </c>
    </row>
    <row r="237" spans="1:10">
      <c r="A237" s="431" t="s">
        <v>1016</v>
      </c>
      <c r="G237" s="437" t="s">
        <v>1028</v>
      </c>
      <c r="H237" s="438">
        <v>151.66999999999999</v>
      </c>
      <c r="I237" s="438">
        <v>151.66999999999999</v>
      </c>
      <c r="J237" s="438">
        <f>+H237+I237</f>
        <v>303.33999999999997</v>
      </c>
    </row>
    <row r="238" spans="1:10">
      <c r="A238" s="431" t="s">
        <v>1204</v>
      </c>
      <c r="G238" s="439" t="s">
        <v>1029</v>
      </c>
      <c r="H238" s="440">
        <v>0.31892036559999998</v>
      </c>
      <c r="I238" s="440">
        <f>(G229/0.6)*((1.6*(I236*I237/I235))-1)</f>
        <v>0.24074578690909082</v>
      </c>
      <c r="J238" s="440">
        <f>($G$87/0.6)*((1.6*(J236*J237/J235))-1)</f>
        <v>0.27788614158730163</v>
      </c>
    </row>
    <row r="239" spans="1:10">
      <c r="A239" s="432" t="s">
        <v>1048</v>
      </c>
      <c r="G239" s="437" t="s">
        <v>1029</v>
      </c>
      <c r="H239" s="451">
        <v>0.31892036559999998</v>
      </c>
      <c r="I239" s="451">
        <f>MIN(G229,I238)</f>
        <v>0.24074578690909082</v>
      </c>
      <c r="J239" s="451">
        <f>MIN($G$87,J238)</f>
        <v>0.27788614158730163</v>
      </c>
    </row>
    <row r="240" spans="1:10">
      <c r="A240" s="431" t="s">
        <v>1205</v>
      </c>
      <c r="G240" s="442" t="s">
        <v>1030</v>
      </c>
      <c r="H240" s="443">
        <v>510.27258495999996</v>
      </c>
      <c r="I240" s="443">
        <f>I235*I239</f>
        <v>423.71258495999984</v>
      </c>
      <c r="J240" s="443">
        <f>J235*J239</f>
        <v>933.69743573333346</v>
      </c>
    </row>
    <row r="241" spans="1:10">
      <c r="A241" s="431" t="s">
        <v>1206</v>
      </c>
      <c r="G241" s="439" t="s">
        <v>1031</v>
      </c>
      <c r="H241" s="440">
        <v>0.14693629247999992</v>
      </c>
      <c r="I241" s="440">
        <f>(G229/0.6)*((1.6*(I236*I237/I233))-1)</f>
        <v>8.4396629527272726E-2</v>
      </c>
      <c r="J241" s="440">
        <f>($G$87/0.6)*((1.6*(J236*J237/J233))-1)</f>
        <v>0.11414224660317457</v>
      </c>
    </row>
    <row r="242" spans="1:10">
      <c r="A242" s="431" t="s">
        <v>1207</v>
      </c>
      <c r="G242" s="442" t="s">
        <v>1032</v>
      </c>
      <c r="H242" s="443">
        <v>293.87258495999987</v>
      </c>
      <c r="I242" s="443">
        <f>I233*I241</f>
        <v>185.67258495999999</v>
      </c>
      <c r="J242" s="443">
        <f>J233*J241</f>
        <v>479.39743573333317</v>
      </c>
    </row>
    <row r="243" spans="1:10">
      <c r="A243" s="431"/>
      <c r="G243" s="439" t="s">
        <v>1033</v>
      </c>
      <c r="H243" s="441">
        <v>382.03436044799986</v>
      </c>
      <c r="I243" s="441">
        <f>I242*1.3</f>
        <v>241.374360448</v>
      </c>
      <c r="J243" s="441">
        <f>J242*1.3</f>
        <v>623.21666645333312</v>
      </c>
    </row>
    <row r="244" spans="1:10">
      <c r="A244" s="412" t="s">
        <v>1209</v>
      </c>
      <c r="G244" s="439" t="s">
        <v>1034</v>
      </c>
      <c r="H244" s="441">
        <v>382.03436044799986</v>
      </c>
      <c r="I244" s="441">
        <f>MIN(I240,I243)</f>
        <v>241.374360448</v>
      </c>
      <c r="J244" s="441">
        <f>MIN(J240,J243)</f>
        <v>623.21666645333312</v>
      </c>
    </row>
    <row r="245" spans="1:10">
      <c r="A245" s="412" t="s">
        <v>1210</v>
      </c>
      <c r="G245" s="437" t="s">
        <v>1035</v>
      </c>
      <c r="H245" s="438">
        <v>382.03436044799986</v>
      </c>
      <c r="I245" s="438">
        <f>I244</f>
        <v>241.374360448</v>
      </c>
      <c r="J245" s="438">
        <f>J244-H244</f>
        <v>241.18230600533326</v>
      </c>
    </row>
    <row r="246" spans="1:10">
      <c r="A246" s="411" t="s">
        <v>1211</v>
      </c>
      <c r="G246" s="437" t="s">
        <v>1036</v>
      </c>
      <c r="H246" s="438">
        <v>311.18263987199992</v>
      </c>
      <c r="I246" s="438">
        <f>I245*($G$13/G229)</f>
        <v>196.60930653866669</v>
      </c>
      <c r="J246" s="438">
        <f>J245*($G$13/G229)</f>
        <v>196.45287032597079</v>
      </c>
    </row>
    <row r="247" spans="1:10">
      <c r="A247" s="411" t="s">
        <v>1212</v>
      </c>
      <c r="G247" s="437" t="s">
        <v>1037</v>
      </c>
      <c r="H247" s="438">
        <v>70.734026687999972</v>
      </c>
      <c r="I247" s="438">
        <f>I245*($G$22/G229)</f>
        <v>44.690693354666671</v>
      </c>
      <c r="J247" s="438">
        <f>J245*($G$22/G229)</f>
        <v>44.655134291190784</v>
      </c>
    </row>
  </sheetData>
  <mergeCells count="2">
    <mergeCell ref="G13:G21"/>
    <mergeCell ref="G155:G16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2:K224"/>
  <sheetViews>
    <sheetView topLeftCell="A16" zoomScale="85" zoomScaleNormal="85" workbookViewId="0">
      <selection activeCell="B7" sqref="B7"/>
    </sheetView>
  </sheetViews>
  <sheetFormatPr baseColWidth="10" defaultRowHeight="14.5"/>
  <cols>
    <col min="1" max="1" width="34.54296875" customWidth="1"/>
    <col min="2" max="2" width="14.7265625" customWidth="1"/>
    <col min="3" max="3" width="44.453125" customWidth="1"/>
  </cols>
  <sheetData>
    <row r="2" spans="1:10">
      <c r="J2" t="s">
        <v>502</v>
      </c>
    </row>
    <row r="4" spans="1:10">
      <c r="J4" t="s">
        <v>503</v>
      </c>
    </row>
    <row r="5" spans="1:10">
      <c r="E5" t="s">
        <v>236</v>
      </c>
      <c r="F5" s="70" t="s">
        <v>235</v>
      </c>
    </row>
    <row r="6" spans="1:10">
      <c r="E6" s="70" t="s">
        <v>410</v>
      </c>
      <c r="J6" t="s">
        <v>504</v>
      </c>
    </row>
    <row r="7" spans="1:10">
      <c r="E7" s="70" t="s">
        <v>237</v>
      </c>
    </row>
    <row r="8" spans="1:10">
      <c r="F8" s="102">
        <v>151.66999999999999</v>
      </c>
      <c r="G8" s="103">
        <f>+F8/35</f>
        <v>4.3334285714285707</v>
      </c>
      <c r="H8">
        <f>+G8/5</f>
        <v>0.86668571428571417</v>
      </c>
      <c r="I8" s="104">
        <f>+G8+H8</f>
        <v>5.2001142857142852</v>
      </c>
    </row>
    <row r="9" spans="1:10">
      <c r="F9" s="102">
        <f>+F8/7</f>
        <v>21.667142857142856</v>
      </c>
    </row>
    <row r="10" spans="1:10">
      <c r="E10" s="72" t="s">
        <v>238</v>
      </c>
    </row>
    <row r="12" spans="1:10">
      <c r="A12" s="71" t="s">
        <v>239</v>
      </c>
    </row>
    <row r="13" spans="1:10">
      <c r="A13" s="71" t="s">
        <v>240</v>
      </c>
    </row>
    <row r="14" spans="1:10">
      <c r="A14" s="71" t="s">
        <v>242</v>
      </c>
    </row>
    <row r="15" spans="1:10">
      <c r="A15" s="71" t="s">
        <v>245</v>
      </c>
    </row>
    <row r="16" spans="1:10">
      <c r="A16" s="76" t="s">
        <v>244</v>
      </c>
      <c r="E16" t="s">
        <v>502</v>
      </c>
    </row>
    <row r="17" spans="1:11">
      <c r="A17" s="71" t="s">
        <v>241</v>
      </c>
    </row>
    <row r="18" spans="1:11">
      <c r="A18" s="71" t="s">
        <v>246</v>
      </c>
    </row>
    <row r="19" spans="1:11">
      <c r="A19" s="76" t="s">
        <v>243</v>
      </c>
      <c r="E19" t="s">
        <v>502</v>
      </c>
    </row>
    <row r="21" spans="1:11">
      <c r="A21" s="71" t="s">
        <v>494</v>
      </c>
    </row>
    <row r="22" spans="1:11">
      <c r="A22" s="71" t="s">
        <v>242</v>
      </c>
    </row>
    <row r="23" spans="1:11">
      <c r="A23" s="71" t="s">
        <v>495</v>
      </c>
    </row>
    <row r="24" spans="1:11">
      <c r="A24" s="76" t="s">
        <v>496</v>
      </c>
      <c r="D24" s="71" t="s">
        <v>507</v>
      </c>
    </row>
    <row r="25" spans="1:11">
      <c r="A25" s="76" t="s">
        <v>243</v>
      </c>
      <c r="D25" s="71" t="s">
        <v>508</v>
      </c>
    </row>
    <row r="27" spans="1:11">
      <c r="E27" t="s">
        <v>498</v>
      </c>
      <c r="G27" t="s">
        <v>499</v>
      </c>
      <c r="K27" t="s">
        <v>503</v>
      </c>
    </row>
    <row r="28" spans="1:11">
      <c r="A28" s="76">
        <f>4667.67/26*6</f>
        <v>1077.1546153846155</v>
      </c>
    </row>
    <row r="29" spans="1:11">
      <c r="E29" t="s">
        <v>505</v>
      </c>
      <c r="G29" t="s">
        <v>505</v>
      </c>
      <c r="I29">
        <v>1256.68</v>
      </c>
    </row>
    <row r="31" spans="1:11">
      <c r="E31" t="s">
        <v>500</v>
      </c>
      <c r="G31" t="s">
        <v>501</v>
      </c>
      <c r="K31" t="s">
        <v>504</v>
      </c>
    </row>
    <row r="32" spans="1:11">
      <c r="E32" t="s">
        <v>506</v>
      </c>
      <c r="G32" t="s">
        <v>506</v>
      </c>
      <c r="I32">
        <v>1244.71</v>
      </c>
    </row>
    <row r="33" spans="1:1">
      <c r="A33" s="87" t="s">
        <v>497</v>
      </c>
    </row>
    <row r="37" spans="1:1">
      <c r="A37" t="s">
        <v>701</v>
      </c>
    </row>
    <row r="38" spans="1:1" ht="30">
      <c r="A38" s="308" t="s">
        <v>702</v>
      </c>
    </row>
    <row r="39" spans="1:1">
      <c r="A39" s="11"/>
    </row>
    <row r="40" spans="1:1" ht="22.5">
      <c r="A40" s="309" t="s">
        <v>703</v>
      </c>
    </row>
    <row r="41" spans="1:1">
      <c r="A41" s="226"/>
    </row>
    <row r="42" spans="1:1">
      <c r="A42" s="226" t="s">
        <v>704</v>
      </c>
    </row>
    <row r="43" spans="1:1">
      <c r="A43" s="311"/>
    </row>
    <row r="44" spans="1:1" ht="15">
      <c r="A44" s="312" t="s">
        <v>705</v>
      </c>
    </row>
    <row r="45" spans="1:1">
      <c r="A45" s="226"/>
    </row>
    <row r="46" spans="1:1" ht="22.5">
      <c r="A46" s="309" t="s">
        <v>706</v>
      </c>
    </row>
    <row r="47" spans="1:1">
      <c r="A47" s="226"/>
    </row>
    <row r="48" spans="1:1">
      <c r="A48" s="226" t="s">
        <v>707</v>
      </c>
    </row>
    <row r="49" spans="1:1">
      <c r="A49" s="226"/>
    </row>
    <row r="50" spans="1:1" ht="17">
      <c r="A50" s="313" t="s">
        <v>708</v>
      </c>
    </row>
    <row r="51" spans="1:1">
      <c r="A51" s="226"/>
    </row>
    <row r="52" spans="1:1">
      <c r="A52" s="226" t="s">
        <v>709</v>
      </c>
    </row>
    <row r="53" spans="1:1">
      <c r="A53" s="226"/>
    </row>
    <row r="54" spans="1:1" ht="17">
      <c r="A54" s="313" t="s">
        <v>710</v>
      </c>
    </row>
    <row r="55" spans="1:1">
      <c r="A55" s="226"/>
    </row>
    <row r="56" spans="1:1">
      <c r="A56" s="226" t="s">
        <v>711</v>
      </c>
    </row>
    <row r="57" spans="1:1">
      <c r="A57" s="226"/>
    </row>
    <row r="58" spans="1:1" ht="17">
      <c r="A58" s="313" t="s">
        <v>712</v>
      </c>
    </row>
    <row r="59" spans="1:1">
      <c r="A59" s="226"/>
    </row>
    <row r="60" spans="1:1">
      <c r="A60" s="226"/>
    </row>
    <row r="61" spans="1:1">
      <c r="A61" s="226" t="s">
        <v>713</v>
      </c>
    </row>
    <row r="62" spans="1:1">
      <c r="A62" s="226"/>
    </row>
    <row r="63" spans="1:1" ht="17">
      <c r="A63" s="313" t="s">
        <v>714</v>
      </c>
    </row>
    <row r="64" spans="1:1">
      <c r="A64" s="226"/>
    </row>
    <row r="65" spans="1:1">
      <c r="A65" s="226" t="s">
        <v>715</v>
      </c>
    </row>
    <row r="66" spans="1:1">
      <c r="A66" s="226"/>
    </row>
    <row r="67" spans="1:1" ht="17">
      <c r="A67" s="313" t="s">
        <v>716</v>
      </c>
    </row>
    <row r="68" spans="1:1">
      <c r="A68" s="226"/>
    </row>
    <row r="69" spans="1:1">
      <c r="A69" s="226" t="s">
        <v>717</v>
      </c>
    </row>
    <row r="70" spans="1:1">
      <c r="A70" s="226"/>
    </row>
    <row r="71" spans="1:1" ht="17">
      <c r="A71" s="313" t="s">
        <v>718</v>
      </c>
    </row>
    <row r="72" spans="1:1">
      <c r="A72" s="226"/>
    </row>
    <row r="73" spans="1:1">
      <c r="A73" s="226" t="s">
        <v>719</v>
      </c>
    </row>
    <row r="74" spans="1:1">
      <c r="A74" s="226"/>
    </row>
    <row r="75" spans="1:1" ht="17">
      <c r="A75" s="313" t="s">
        <v>720</v>
      </c>
    </row>
    <row r="76" spans="1:1">
      <c r="A76" s="226"/>
    </row>
    <row r="77" spans="1:1">
      <c r="A77" s="226" t="s">
        <v>721</v>
      </c>
    </row>
    <row r="78" spans="1:1">
      <c r="A78" s="226"/>
    </row>
    <row r="79" spans="1:1" ht="22.5">
      <c r="A79" s="309" t="s">
        <v>723</v>
      </c>
    </row>
    <row r="80" spans="1:1">
      <c r="A80" s="226"/>
    </row>
    <row r="81" spans="1:5">
      <c r="A81" s="226" t="s">
        <v>724</v>
      </c>
    </row>
    <row r="82" spans="1:5" ht="15" thickBot="1">
      <c r="A82" s="226"/>
    </row>
    <row r="83" spans="1:5" ht="26" customHeight="1">
      <c r="A83" s="524" t="s">
        <v>725</v>
      </c>
      <c r="B83" s="525"/>
      <c r="C83" s="526"/>
    </row>
    <row r="84" spans="1:5" ht="26" customHeight="1">
      <c r="A84" s="527" t="s">
        <v>726</v>
      </c>
      <c r="B84" s="528"/>
      <c r="C84" s="529"/>
    </row>
    <row r="85" spans="1:5" ht="26" customHeight="1">
      <c r="A85" s="527" t="s">
        <v>727</v>
      </c>
      <c r="B85" s="528"/>
      <c r="C85" s="529"/>
    </row>
    <row r="86" spans="1:5" ht="26" customHeight="1">
      <c r="A86" s="527" t="s">
        <v>728</v>
      </c>
      <c r="B86" s="528"/>
      <c r="C86" s="529"/>
    </row>
    <row r="87" spans="1:5">
      <c r="A87" s="322" t="s">
        <v>729</v>
      </c>
      <c r="B87" s="307" t="s">
        <v>730</v>
      </c>
      <c r="C87" s="338" t="s">
        <v>731</v>
      </c>
      <c r="D87" s="226" t="s">
        <v>799</v>
      </c>
    </row>
    <row r="88" spans="1:5">
      <c r="A88" s="322" t="s">
        <v>729</v>
      </c>
      <c r="B88" s="307" t="s">
        <v>732</v>
      </c>
      <c r="C88" s="323" t="s">
        <v>733</v>
      </c>
      <c r="D88" s="226" t="s">
        <v>711</v>
      </c>
    </row>
    <row r="89" spans="1:5">
      <c r="A89" s="322" t="s">
        <v>734</v>
      </c>
      <c r="B89" s="307" t="s">
        <v>735</v>
      </c>
      <c r="C89" s="323" t="s">
        <v>736</v>
      </c>
      <c r="D89" s="226" t="s">
        <v>713</v>
      </c>
    </row>
    <row r="90" spans="1:5">
      <c r="A90" s="322" t="s">
        <v>734</v>
      </c>
      <c r="B90" s="307" t="s">
        <v>737</v>
      </c>
      <c r="C90" s="323" t="s">
        <v>738</v>
      </c>
      <c r="D90" s="226" t="s">
        <v>715</v>
      </c>
    </row>
    <row r="91" spans="1:5">
      <c r="A91" s="322" t="s">
        <v>739</v>
      </c>
      <c r="B91" s="307" t="s">
        <v>735</v>
      </c>
      <c r="C91" s="323" t="s">
        <v>740</v>
      </c>
      <c r="D91" s="226" t="s">
        <v>717</v>
      </c>
    </row>
    <row r="92" spans="1:5">
      <c r="A92" s="322" t="s">
        <v>739</v>
      </c>
      <c r="B92" s="307" t="s">
        <v>737</v>
      </c>
      <c r="C92" s="323" t="s">
        <v>741</v>
      </c>
      <c r="D92" s="226" t="s">
        <v>719</v>
      </c>
    </row>
    <row r="93" spans="1:5">
      <c r="A93" s="322" t="s">
        <v>742</v>
      </c>
      <c r="B93" s="307" t="s">
        <v>735</v>
      </c>
      <c r="C93" s="323" t="s">
        <v>743</v>
      </c>
      <c r="D93" s="226" t="s">
        <v>721</v>
      </c>
    </row>
    <row r="94" spans="1:5" ht="15" thickBot="1">
      <c r="A94" s="324" t="s">
        <v>742</v>
      </c>
      <c r="B94" s="325" t="s">
        <v>737</v>
      </c>
      <c r="C94" s="326" t="s">
        <v>744</v>
      </c>
      <c r="D94" s="226" t="s">
        <v>722</v>
      </c>
    </row>
    <row r="95" spans="1:5" ht="22.5">
      <c r="A95" s="309" t="s">
        <v>745</v>
      </c>
      <c r="E95" s="226"/>
    </row>
    <row r="96" spans="1:5">
      <c r="A96" s="226"/>
    </row>
    <row r="97" spans="1:1">
      <c r="A97" s="226" t="s">
        <v>746</v>
      </c>
    </row>
    <row r="98" spans="1:1">
      <c r="A98" s="226"/>
    </row>
    <row r="99" spans="1:1">
      <c r="A99" s="226" t="s">
        <v>747</v>
      </c>
    </row>
    <row r="100" spans="1:1">
      <c r="A100" s="226"/>
    </row>
    <row r="101" spans="1:1" ht="17">
      <c r="A101" s="313" t="s">
        <v>748</v>
      </c>
    </row>
    <row r="102" spans="1:1">
      <c r="A102" s="226"/>
    </row>
    <row r="103" spans="1:1">
      <c r="A103" s="226" t="s">
        <v>749</v>
      </c>
    </row>
    <row r="104" spans="1:1">
      <c r="A104" s="226"/>
    </row>
    <row r="105" spans="1:1">
      <c r="A105" s="226" t="s">
        <v>750</v>
      </c>
    </row>
    <row r="106" spans="1:1">
      <c r="A106" s="226"/>
    </row>
    <row r="107" spans="1:1" ht="17">
      <c r="A107" s="313" t="s">
        <v>751</v>
      </c>
    </row>
    <row r="108" spans="1:1">
      <c r="A108" s="226"/>
    </row>
    <row r="109" spans="1:1">
      <c r="A109" s="226" t="s">
        <v>752</v>
      </c>
    </row>
    <row r="110" spans="1:1">
      <c r="A110" s="226"/>
    </row>
    <row r="111" spans="1:1">
      <c r="A111" s="226" t="s">
        <v>753</v>
      </c>
    </row>
    <row r="112" spans="1:1">
      <c r="A112" s="11"/>
    </row>
    <row r="113" spans="1:4">
      <c r="A113" s="11" t="s">
        <v>754</v>
      </c>
    </row>
    <row r="114" spans="1:4">
      <c r="A114" s="11" t="s">
        <v>755</v>
      </c>
    </row>
    <row r="115" spans="1:4">
      <c r="A115" s="11" t="s">
        <v>756</v>
      </c>
    </row>
    <row r="116" spans="1:4">
      <c r="A116" s="11" t="s">
        <v>757</v>
      </c>
    </row>
    <row r="117" spans="1:4">
      <c r="A117" s="11" t="s">
        <v>758</v>
      </c>
    </row>
    <row r="120" spans="1:4" ht="30">
      <c r="A120" s="308" t="s">
        <v>759</v>
      </c>
    </row>
    <row r="121" spans="1:4">
      <c r="A121" s="11"/>
    </row>
    <row r="122" spans="1:4" ht="22.5">
      <c r="A122" s="309" t="s">
        <v>760</v>
      </c>
    </row>
    <row r="123" spans="1:4" ht="17">
      <c r="A123" s="313" t="s">
        <v>761</v>
      </c>
    </row>
    <row r="124" spans="1:4" ht="15" thickBot="1">
      <c r="A124" s="226" t="s">
        <v>762</v>
      </c>
    </row>
    <row r="125" spans="1:4" ht="15" thickBot="1">
      <c r="A125" s="327" t="s">
        <v>589</v>
      </c>
      <c r="B125" s="328" t="s">
        <v>763</v>
      </c>
      <c r="C125" s="329">
        <v>13.19</v>
      </c>
      <c r="D125" s="330" t="s">
        <v>764</v>
      </c>
    </row>
    <row r="126" spans="1:4">
      <c r="A126" s="226"/>
    </row>
    <row r="127" spans="1:4">
      <c r="A127" s="226" t="s">
        <v>765</v>
      </c>
    </row>
    <row r="128" spans="1:4" ht="17">
      <c r="A128" s="313" t="s">
        <v>766</v>
      </c>
    </row>
    <row r="129" spans="1:9" ht="15" thickBot="1">
      <c r="A129" s="226" t="s">
        <v>767</v>
      </c>
    </row>
    <row r="130" spans="1:9" ht="29" customHeight="1">
      <c r="A130" s="530" t="s">
        <v>768</v>
      </c>
      <c r="B130" s="531"/>
      <c r="C130" s="531"/>
      <c r="D130" s="531"/>
      <c r="E130" s="531"/>
      <c r="F130" s="532"/>
    </row>
    <row r="131" spans="1:9">
      <c r="A131" s="315" t="s">
        <v>769</v>
      </c>
      <c r="B131" s="314" t="s">
        <v>770</v>
      </c>
      <c r="C131" s="314" t="s">
        <v>771</v>
      </c>
      <c r="D131" s="314" t="s">
        <v>772</v>
      </c>
      <c r="E131" s="314" t="s">
        <v>773</v>
      </c>
      <c r="F131" s="316" t="s">
        <v>774</v>
      </c>
    </row>
    <row r="132" spans="1:9" ht="15" thickBot="1">
      <c r="A132" s="317">
        <v>7</v>
      </c>
      <c r="B132" s="318">
        <v>7</v>
      </c>
      <c r="C132" s="318">
        <v>7</v>
      </c>
      <c r="D132" s="318">
        <v>7</v>
      </c>
      <c r="E132" s="318">
        <v>7</v>
      </c>
      <c r="F132" s="319">
        <v>35</v>
      </c>
    </row>
    <row r="133" spans="1:9" ht="17.5" thickBot="1">
      <c r="A133" s="313" t="s">
        <v>775</v>
      </c>
    </row>
    <row r="134" spans="1:9">
      <c r="A134" s="332" t="s">
        <v>769</v>
      </c>
      <c r="B134" s="333" t="s">
        <v>770</v>
      </c>
      <c r="C134" s="333" t="s">
        <v>771</v>
      </c>
      <c r="D134" s="333" t="s">
        <v>772</v>
      </c>
      <c r="E134" s="333" t="s">
        <v>773</v>
      </c>
      <c r="F134" s="333" t="s">
        <v>776</v>
      </c>
      <c r="G134" s="334" t="s">
        <v>777</v>
      </c>
    </row>
    <row r="135" spans="1:9">
      <c r="A135" s="335"/>
      <c r="B135" s="314"/>
      <c r="C135" s="314">
        <v>1</v>
      </c>
      <c r="D135" s="314">
        <v>2</v>
      </c>
      <c r="E135" s="314">
        <v>3</v>
      </c>
      <c r="F135" s="314">
        <v>4</v>
      </c>
      <c r="G135" s="316">
        <v>5</v>
      </c>
    </row>
    <row r="136" spans="1:9">
      <c r="A136" s="315">
        <v>6</v>
      </c>
      <c r="B136" s="314">
        <v>7</v>
      </c>
      <c r="C136" s="314">
        <v>8</v>
      </c>
      <c r="D136" s="314">
        <v>9</v>
      </c>
      <c r="E136" s="314">
        <v>10</v>
      </c>
      <c r="F136" s="314">
        <v>11</v>
      </c>
      <c r="G136" s="316">
        <v>12</v>
      </c>
    </row>
    <row r="137" spans="1:9">
      <c r="A137" s="315">
        <v>13</v>
      </c>
      <c r="B137" s="314">
        <v>14</v>
      </c>
      <c r="C137" s="314">
        <v>15</v>
      </c>
      <c r="D137" s="314">
        <v>16</v>
      </c>
      <c r="E137" s="314">
        <v>17</v>
      </c>
      <c r="F137" s="314">
        <v>18</v>
      </c>
      <c r="G137" s="316">
        <v>19</v>
      </c>
    </row>
    <row r="138" spans="1:9">
      <c r="A138" s="315">
        <v>20</v>
      </c>
      <c r="B138" s="314">
        <v>21</v>
      </c>
      <c r="C138" s="314">
        <v>22</v>
      </c>
      <c r="D138" s="314">
        <v>23</v>
      </c>
      <c r="E138" s="314">
        <v>24</v>
      </c>
      <c r="F138" s="314">
        <v>25</v>
      </c>
      <c r="G138" s="316">
        <v>26</v>
      </c>
    </row>
    <row r="139" spans="1:9" ht="15" thickBot="1">
      <c r="A139" s="317">
        <v>27</v>
      </c>
      <c r="B139" s="318">
        <v>28</v>
      </c>
      <c r="C139" s="318">
        <v>29</v>
      </c>
      <c r="D139" s="318">
        <v>30</v>
      </c>
      <c r="E139" s="318">
        <v>31</v>
      </c>
      <c r="F139" s="318"/>
      <c r="G139" s="319"/>
    </row>
    <row r="140" spans="1:9" ht="15" thickBot="1">
      <c r="A140" s="339"/>
      <c r="B140" s="339"/>
      <c r="C140" s="339"/>
      <c r="D140" s="339"/>
      <c r="E140" s="339"/>
      <c r="F140" s="339"/>
      <c r="G140" s="339"/>
    </row>
    <row r="141" spans="1:9" ht="26" customHeight="1">
      <c r="A141" s="524" t="s">
        <v>725</v>
      </c>
      <c r="B141" s="525"/>
      <c r="C141" s="526"/>
      <c r="D141" s="10">
        <f>23*7</f>
        <v>161</v>
      </c>
      <c r="E141" s="10">
        <f>8*7</f>
        <v>56</v>
      </c>
      <c r="F141" s="310" t="s">
        <v>765</v>
      </c>
      <c r="G141" s="10"/>
      <c r="H141" s="10"/>
      <c r="I141" s="10"/>
    </row>
    <row r="142" spans="1:9" ht="26" customHeight="1">
      <c r="A142" s="527" t="s">
        <v>726</v>
      </c>
      <c r="B142" s="528"/>
      <c r="C142" s="529"/>
    </row>
    <row r="143" spans="1:9" ht="26" customHeight="1">
      <c r="A143" s="320" t="s">
        <v>800</v>
      </c>
      <c r="B143" s="340"/>
      <c r="C143" s="321"/>
    </row>
    <row r="144" spans="1:9" ht="26" customHeight="1" thickBot="1">
      <c r="A144" s="527" t="s">
        <v>728</v>
      </c>
      <c r="B144" s="528"/>
      <c r="C144" s="529"/>
    </row>
    <row r="145" spans="1:4">
      <c r="A145" s="331" t="s">
        <v>729</v>
      </c>
      <c r="B145" s="336" t="s">
        <v>730</v>
      </c>
      <c r="C145" s="337" t="s">
        <v>778</v>
      </c>
      <c r="D145" s="226" t="s">
        <v>799</v>
      </c>
    </row>
    <row r="146" spans="1:4">
      <c r="A146" s="315" t="s">
        <v>729</v>
      </c>
      <c r="B146" s="314" t="s">
        <v>732</v>
      </c>
      <c r="C146" s="316" t="s">
        <v>779</v>
      </c>
      <c r="D146" s="226" t="s">
        <v>711</v>
      </c>
    </row>
    <row r="147" spans="1:4">
      <c r="A147" s="315" t="s">
        <v>734</v>
      </c>
      <c r="B147" s="314" t="s">
        <v>735</v>
      </c>
      <c r="C147" s="316" t="s">
        <v>780</v>
      </c>
      <c r="D147" s="226" t="s">
        <v>713</v>
      </c>
    </row>
    <row r="148" spans="1:4">
      <c r="A148" s="315" t="s">
        <v>734</v>
      </c>
      <c r="B148" s="314" t="s">
        <v>737</v>
      </c>
      <c r="C148" s="316" t="s">
        <v>781</v>
      </c>
      <c r="D148" s="226" t="s">
        <v>715</v>
      </c>
    </row>
    <row r="149" spans="1:4">
      <c r="A149" s="315" t="s">
        <v>739</v>
      </c>
      <c r="B149" s="314" t="s">
        <v>735</v>
      </c>
      <c r="C149" s="316" t="s">
        <v>782</v>
      </c>
      <c r="D149" s="226" t="s">
        <v>717</v>
      </c>
    </row>
    <row r="150" spans="1:4">
      <c r="A150" s="315" t="s">
        <v>739</v>
      </c>
      <c r="B150" s="314" t="s">
        <v>737</v>
      </c>
      <c r="C150" s="316" t="s">
        <v>783</v>
      </c>
      <c r="D150" s="226" t="s">
        <v>719</v>
      </c>
    </row>
    <row r="151" spans="1:4">
      <c r="A151" s="315" t="s">
        <v>742</v>
      </c>
      <c r="B151" s="314" t="s">
        <v>735</v>
      </c>
      <c r="C151" s="316" t="s">
        <v>784</v>
      </c>
      <c r="D151" s="226" t="s">
        <v>721</v>
      </c>
    </row>
    <row r="152" spans="1:4" ht="15" thickBot="1">
      <c r="A152" s="317" t="s">
        <v>742</v>
      </c>
      <c r="B152" s="318" t="s">
        <v>737</v>
      </c>
      <c r="C152" s="319" t="s">
        <v>785</v>
      </c>
      <c r="D152" s="226" t="s">
        <v>722</v>
      </c>
    </row>
    <row r="153" spans="1:4" ht="22.5">
      <c r="A153" s="309" t="s">
        <v>786</v>
      </c>
    </row>
    <row r="154" spans="1:4" ht="17">
      <c r="A154" s="313" t="s">
        <v>761</v>
      </c>
    </row>
    <row r="155" spans="1:4">
      <c r="A155" s="226" t="s">
        <v>762</v>
      </c>
    </row>
    <row r="156" spans="1:4" ht="15" thickBot="1">
      <c r="A156" s="226"/>
    </row>
    <row r="157" spans="1:4" ht="15" thickBot="1">
      <c r="A157" s="327" t="s">
        <v>589</v>
      </c>
      <c r="B157" s="328" t="s">
        <v>763</v>
      </c>
      <c r="C157" s="329">
        <v>13.19</v>
      </c>
      <c r="D157" s="330" t="s">
        <v>764</v>
      </c>
    </row>
    <row r="158" spans="1:4">
      <c r="A158" s="226"/>
    </row>
    <row r="159" spans="1:4">
      <c r="A159" s="226" t="s">
        <v>765</v>
      </c>
    </row>
    <row r="160" spans="1:4">
      <c r="A160" s="226"/>
    </row>
    <row r="161" spans="1:9" ht="17">
      <c r="A161" s="313" t="s">
        <v>766</v>
      </c>
    </row>
    <row r="162" spans="1:9">
      <c r="A162" s="226"/>
    </row>
    <row r="163" spans="1:9">
      <c r="A163" s="226" t="s">
        <v>767</v>
      </c>
    </row>
    <row r="164" spans="1:9" ht="15" thickBot="1">
      <c r="A164" s="226"/>
    </row>
    <row r="165" spans="1:9" ht="29" customHeight="1">
      <c r="A165" s="530" t="s">
        <v>768</v>
      </c>
      <c r="B165" s="531"/>
      <c r="C165" s="531"/>
      <c r="D165" s="531"/>
      <c r="E165" s="531"/>
      <c r="F165" s="532"/>
    </row>
    <row r="166" spans="1:9">
      <c r="A166" s="315" t="s">
        <v>769</v>
      </c>
      <c r="B166" s="314" t="s">
        <v>770</v>
      </c>
      <c r="C166" s="314" t="s">
        <v>771</v>
      </c>
      <c r="D166" s="314" t="s">
        <v>772</v>
      </c>
      <c r="E166" s="314" t="s">
        <v>773</v>
      </c>
      <c r="F166" s="316" t="s">
        <v>774</v>
      </c>
    </row>
    <row r="167" spans="1:9" ht="15" thickBot="1">
      <c r="A167" s="317">
        <v>7</v>
      </c>
      <c r="B167" s="318">
        <v>8</v>
      </c>
      <c r="C167" s="318">
        <v>6</v>
      </c>
      <c r="D167" s="318">
        <v>6</v>
      </c>
      <c r="E167" s="318">
        <v>8</v>
      </c>
      <c r="F167" s="319">
        <v>35</v>
      </c>
      <c r="G167" s="341">
        <v>28</v>
      </c>
      <c r="H167" s="341">
        <v>27</v>
      </c>
      <c r="I167">
        <f>35*4+20</f>
        <v>160</v>
      </c>
    </row>
    <row r="168" spans="1:9" ht="17.5" thickBot="1">
      <c r="A168" s="313" t="s">
        <v>775</v>
      </c>
    </row>
    <row r="169" spans="1:9">
      <c r="A169" s="332" t="s">
        <v>769</v>
      </c>
      <c r="B169" s="333" t="s">
        <v>770</v>
      </c>
      <c r="C169" s="333" t="s">
        <v>771</v>
      </c>
      <c r="D169" s="333" t="s">
        <v>772</v>
      </c>
      <c r="E169" s="333" t="s">
        <v>773</v>
      </c>
      <c r="F169" s="333" t="s">
        <v>776</v>
      </c>
      <c r="G169" s="334" t="s">
        <v>777</v>
      </c>
    </row>
    <row r="170" spans="1:9">
      <c r="A170" s="335"/>
      <c r="B170" s="314"/>
      <c r="C170" s="314">
        <v>1</v>
      </c>
      <c r="D170" s="314">
        <v>2</v>
      </c>
      <c r="E170" s="314">
        <v>3</v>
      </c>
      <c r="F170" s="314">
        <v>4</v>
      </c>
      <c r="G170" s="316">
        <v>5</v>
      </c>
    </row>
    <row r="171" spans="1:9">
      <c r="A171" s="315">
        <v>6</v>
      </c>
      <c r="B171" s="314">
        <v>7</v>
      </c>
      <c r="C171" s="314">
        <v>8</v>
      </c>
      <c r="D171" s="314">
        <v>9</v>
      </c>
      <c r="E171" s="314">
        <v>10</v>
      </c>
      <c r="F171" s="314">
        <v>11</v>
      </c>
      <c r="G171" s="316">
        <v>12</v>
      </c>
    </row>
    <row r="172" spans="1:9">
      <c r="A172" s="315">
        <v>13</v>
      </c>
      <c r="B172" s="314">
        <v>14</v>
      </c>
      <c r="C172" s="314">
        <v>15</v>
      </c>
      <c r="D172" s="314">
        <v>16</v>
      </c>
      <c r="E172" s="314">
        <v>17</v>
      </c>
      <c r="F172" s="314">
        <v>18</v>
      </c>
      <c r="G172" s="316">
        <v>19</v>
      </c>
    </row>
    <row r="173" spans="1:9">
      <c r="A173" s="315">
        <v>20</v>
      </c>
      <c r="B173" s="314">
        <v>21</v>
      </c>
      <c r="C173" s="314">
        <v>22</v>
      </c>
      <c r="D173" s="314">
        <v>23</v>
      </c>
      <c r="E173" s="314">
        <v>24</v>
      </c>
      <c r="F173" s="314">
        <v>25</v>
      </c>
      <c r="G173" s="316">
        <v>26</v>
      </c>
    </row>
    <row r="174" spans="1:9" ht="15" thickBot="1">
      <c r="A174" s="317">
        <v>27</v>
      </c>
      <c r="B174" s="318">
        <v>28</v>
      </c>
      <c r="C174" s="318">
        <v>29</v>
      </c>
      <c r="D174" s="318">
        <v>30</v>
      </c>
      <c r="E174" s="318">
        <v>31</v>
      </c>
      <c r="F174" s="318"/>
      <c r="G174" s="319"/>
    </row>
    <row r="175" spans="1:9" ht="26" customHeight="1">
      <c r="A175" s="524" t="s">
        <v>725</v>
      </c>
      <c r="B175" s="525"/>
      <c r="C175" s="526"/>
      <c r="D175" s="10">
        <f>160</f>
        <v>160</v>
      </c>
      <c r="E175" s="10">
        <v>55</v>
      </c>
      <c r="F175" s="310" t="s">
        <v>765</v>
      </c>
      <c r="G175" s="10"/>
      <c r="H175" s="10"/>
      <c r="I175" s="10"/>
    </row>
    <row r="176" spans="1:9" ht="26" customHeight="1">
      <c r="A176" s="527" t="s">
        <v>726</v>
      </c>
      <c r="B176" s="528"/>
      <c r="C176" s="529"/>
    </row>
    <row r="177" spans="1:4" ht="26" customHeight="1">
      <c r="A177" s="320" t="s">
        <v>801</v>
      </c>
      <c r="B177" s="340"/>
      <c r="C177" s="321"/>
    </row>
    <row r="178" spans="1:4" ht="26" customHeight="1" thickBot="1">
      <c r="A178" s="527" t="s">
        <v>802</v>
      </c>
      <c r="B178" s="528"/>
      <c r="C178" s="529"/>
    </row>
    <row r="179" spans="1:4">
      <c r="A179" s="331" t="s">
        <v>729</v>
      </c>
      <c r="B179" s="336" t="s">
        <v>730</v>
      </c>
      <c r="C179" s="337" t="s">
        <v>803</v>
      </c>
      <c r="D179" s="226" t="s">
        <v>799</v>
      </c>
    </row>
    <row r="180" spans="1:4">
      <c r="A180" s="315" t="s">
        <v>729</v>
      </c>
      <c r="B180" s="314" t="s">
        <v>732</v>
      </c>
      <c r="C180" s="316" t="s">
        <v>787</v>
      </c>
      <c r="D180" s="226" t="s">
        <v>711</v>
      </c>
    </row>
    <row r="181" spans="1:4">
      <c r="A181" s="315" t="s">
        <v>734</v>
      </c>
      <c r="B181" s="314" t="s">
        <v>735</v>
      </c>
      <c r="C181" s="316" t="s">
        <v>780</v>
      </c>
      <c r="D181" s="226" t="s">
        <v>713</v>
      </c>
    </row>
    <row r="182" spans="1:4">
      <c r="A182" s="315" t="s">
        <v>734</v>
      </c>
      <c r="B182" s="314" t="s">
        <v>737</v>
      </c>
      <c r="C182" s="316" t="s">
        <v>781</v>
      </c>
      <c r="D182" s="226" t="s">
        <v>715</v>
      </c>
    </row>
    <row r="183" spans="1:4">
      <c r="A183" s="315" t="s">
        <v>739</v>
      </c>
      <c r="B183" s="314" t="s">
        <v>735</v>
      </c>
      <c r="C183" s="316" t="s">
        <v>782</v>
      </c>
      <c r="D183" s="226" t="s">
        <v>717</v>
      </c>
    </row>
    <row r="184" spans="1:4">
      <c r="A184" s="315" t="s">
        <v>739</v>
      </c>
      <c r="B184" s="314" t="s">
        <v>737</v>
      </c>
      <c r="C184" s="316" t="s">
        <v>783</v>
      </c>
      <c r="D184" s="226" t="s">
        <v>719</v>
      </c>
    </row>
    <row r="185" spans="1:4">
      <c r="A185" s="315" t="s">
        <v>742</v>
      </c>
      <c r="B185" s="314" t="s">
        <v>735</v>
      </c>
      <c r="C185" s="316" t="s">
        <v>784</v>
      </c>
      <c r="D185" s="226" t="s">
        <v>721</v>
      </c>
    </row>
    <row r="186" spans="1:4" ht="15" thickBot="1">
      <c r="A186" s="317" t="s">
        <v>742</v>
      </c>
      <c r="B186" s="318" t="s">
        <v>737</v>
      </c>
      <c r="C186" s="319" t="s">
        <v>785</v>
      </c>
      <c r="D186" s="226" t="s">
        <v>722</v>
      </c>
    </row>
    <row r="187" spans="1:4" ht="22.5">
      <c r="A187" s="309" t="s">
        <v>788</v>
      </c>
    </row>
    <row r="188" spans="1:4" ht="17">
      <c r="A188" s="313" t="s">
        <v>761</v>
      </c>
    </row>
    <row r="189" spans="1:4">
      <c r="A189" s="226" t="s">
        <v>762</v>
      </c>
    </row>
    <row r="190" spans="1:4" ht="15" thickBot="1">
      <c r="A190" s="226" t="s">
        <v>789</v>
      </c>
    </row>
    <row r="191" spans="1:4" ht="15" thickBot="1">
      <c r="A191" s="327" t="s">
        <v>589</v>
      </c>
      <c r="B191" s="328" t="s">
        <v>763</v>
      </c>
      <c r="C191" s="329">
        <v>13.19</v>
      </c>
      <c r="D191" s="330" t="s">
        <v>764</v>
      </c>
    </row>
    <row r="192" spans="1:4" ht="17">
      <c r="A192" s="313" t="s">
        <v>766</v>
      </c>
    </row>
    <row r="193" spans="1:8" ht="15" thickBot="1">
      <c r="A193" s="226" t="s">
        <v>767</v>
      </c>
    </row>
    <row r="194" spans="1:8" ht="14.5" customHeight="1">
      <c r="A194" s="530" t="s">
        <v>790</v>
      </c>
      <c r="B194" s="531"/>
      <c r="C194" s="531"/>
      <c r="D194" s="531"/>
      <c r="E194" s="531"/>
      <c r="F194" s="531"/>
      <c r="G194" s="532"/>
      <c r="H194" s="337"/>
    </row>
    <row r="195" spans="1:8">
      <c r="A195" s="315" t="s">
        <v>769</v>
      </c>
      <c r="B195" s="314" t="s">
        <v>770</v>
      </c>
      <c r="C195" s="314" t="s">
        <v>771</v>
      </c>
      <c r="D195" s="314" t="s">
        <v>772</v>
      </c>
      <c r="E195" s="314" t="s">
        <v>773</v>
      </c>
      <c r="F195" s="314" t="s">
        <v>776</v>
      </c>
      <c r="G195" s="314" t="s">
        <v>777</v>
      </c>
      <c r="H195" s="316" t="s">
        <v>774</v>
      </c>
    </row>
    <row r="196" spans="1:8" ht="15" thickBot="1">
      <c r="A196" s="317" t="s">
        <v>791</v>
      </c>
      <c r="B196" s="318" t="s">
        <v>791</v>
      </c>
      <c r="C196" s="318">
        <v>7</v>
      </c>
      <c r="D196" s="318">
        <v>7</v>
      </c>
      <c r="E196" s="318">
        <v>7</v>
      </c>
      <c r="F196" s="318">
        <v>7</v>
      </c>
      <c r="G196" s="318">
        <v>7</v>
      </c>
      <c r="H196" s="319">
        <v>35</v>
      </c>
    </row>
    <row r="197" spans="1:8">
      <c r="A197" s="11"/>
    </row>
    <row r="198" spans="1:8">
      <c r="A198" s="11" t="s">
        <v>792</v>
      </c>
    </row>
    <row r="199" spans="1:8">
      <c r="A199" s="11" t="s">
        <v>793</v>
      </c>
    </row>
    <row r="200" spans="1:8">
      <c r="A200" s="11"/>
    </row>
    <row r="201" spans="1:8">
      <c r="A201" s="11" t="s">
        <v>794</v>
      </c>
    </row>
    <row r="202" spans="1:8">
      <c r="A202" s="11"/>
    </row>
    <row r="203" spans="1:8">
      <c r="A203" s="11" t="s">
        <v>795</v>
      </c>
    </row>
    <row r="204" spans="1:8">
      <c r="A204" s="11" t="s">
        <v>796</v>
      </c>
    </row>
    <row r="205" spans="1:8">
      <c r="A205" s="226"/>
    </row>
    <row r="206" spans="1:8" ht="17.5" thickBot="1">
      <c r="A206" s="313" t="s">
        <v>775</v>
      </c>
    </row>
    <row r="207" spans="1:8">
      <c r="A207" s="332" t="s">
        <v>769</v>
      </c>
      <c r="B207" s="333" t="s">
        <v>770</v>
      </c>
      <c r="C207" s="333" t="s">
        <v>771</v>
      </c>
      <c r="D207" s="333" t="s">
        <v>772</v>
      </c>
      <c r="E207" s="333" t="s">
        <v>773</v>
      </c>
      <c r="F207" s="333" t="s">
        <v>776</v>
      </c>
      <c r="G207" s="334" t="s">
        <v>777</v>
      </c>
    </row>
    <row r="208" spans="1:8">
      <c r="A208" s="335"/>
      <c r="B208" s="314"/>
      <c r="C208" s="314">
        <v>1</v>
      </c>
      <c r="D208" s="314">
        <v>2</v>
      </c>
      <c r="E208" s="314">
        <v>3</v>
      </c>
      <c r="F208" s="314">
        <v>4</v>
      </c>
      <c r="G208" s="316">
        <v>5</v>
      </c>
    </row>
    <row r="209" spans="1:9">
      <c r="A209" s="315">
        <v>6</v>
      </c>
      <c r="B209" s="314">
        <v>7</v>
      </c>
      <c r="C209" s="314">
        <v>8</v>
      </c>
      <c r="D209" s="314">
        <v>9</v>
      </c>
      <c r="E209" s="314">
        <v>10</v>
      </c>
      <c r="F209" s="314">
        <v>11</v>
      </c>
      <c r="G209" s="316">
        <v>12</v>
      </c>
    </row>
    <row r="210" spans="1:9">
      <c r="A210" s="315">
        <v>13</v>
      </c>
      <c r="B210" s="314">
        <v>14</v>
      </c>
      <c r="C210" s="314">
        <v>15</v>
      </c>
      <c r="D210" s="314">
        <v>16</v>
      </c>
      <c r="E210" s="314">
        <v>17</v>
      </c>
      <c r="F210" s="314">
        <v>18</v>
      </c>
      <c r="G210" s="316">
        <v>19</v>
      </c>
    </row>
    <row r="211" spans="1:9">
      <c r="A211" s="315">
        <v>20</v>
      </c>
      <c r="B211" s="314">
        <v>21</v>
      </c>
      <c r="C211" s="314">
        <v>22</v>
      </c>
      <c r="D211" s="314">
        <v>23</v>
      </c>
      <c r="E211" s="314">
        <v>24</v>
      </c>
      <c r="F211" s="314">
        <v>25</v>
      </c>
      <c r="G211" s="316">
        <v>26</v>
      </c>
    </row>
    <row r="212" spans="1:9" ht="15" thickBot="1">
      <c r="A212" s="317">
        <v>27</v>
      </c>
      <c r="B212" s="318">
        <v>28</v>
      </c>
      <c r="C212" s="318">
        <v>29</v>
      </c>
      <c r="D212" s="318">
        <v>30</v>
      </c>
      <c r="E212" s="318">
        <v>31</v>
      </c>
      <c r="F212" s="318"/>
      <c r="G212" s="319"/>
    </row>
    <row r="213" spans="1:9" ht="26" customHeight="1">
      <c r="A213" s="524" t="s">
        <v>725</v>
      </c>
      <c r="B213" s="525"/>
      <c r="C213" s="526"/>
      <c r="D213" s="10">
        <f>23*7</f>
        <v>161</v>
      </c>
      <c r="E213" s="10">
        <f>7*7</f>
        <v>49</v>
      </c>
      <c r="F213" s="310" t="s">
        <v>765</v>
      </c>
      <c r="G213" s="10"/>
      <c r="H213" s="10"/>
      <c r="I213" s="10"/>
    </row>
    <row r="214" spans="1:9" ht="26" customHeight="1">
      <c r="A214" s="527" t="s">
        <v>726</v>
      </c>
      <c r="B214" s="528"/>
      <c r="C214" s="529"/>
    </row>
    <row r="215" spans="1:9" ht="26" customHeight="1">
      <c r="A215" s="320" t="s">
        <v>800</v>
      </c>
      <c r="B215" s="340"/>
      <c r="C215" s="321"/>
    </row>
    <row r="216" spans="1:9" ht="26" customHeight="1" thickBot="1">
      <c r="A216" s="527" t="s">
        <v>728</v>
      </c>
      <c r="B216" s="528"/>
      <c r="C216" s="529"/>
    </row>
    <row r="217" spans="1:9">
      <c r="A217" s="331" t="s">
        <v>729</v>
      </c>
      <c r="B217" s="336" t="s">
        <v>730</v>
      </c>
      <c r="C217" s="342" t="s">
        <v>804</v>
      </c>
      <c r="D217" s="226" t="s">
        <v>799</v>
      </c>
    </row>
    <row r="218" spans="1:9">
      <c r="A218" s="315" t="s">
        <v>729</v>
      </c>
      <c r="B218" s="314" t="s">
        <v>732</v>
      </c>
      <c r="C218" s="343" t="s">
        <v>805</v>
      </c>
      <c r="D218" s="226" t="s">
        <v>711</v>
      </c>
    </row>
    <row r="219" spans="1:9">
      <c r="A219" s="315" t="s">
        <v>734</v>
      </c>
      <c r="B219" s="314" t="s">
        <v>735</v>
      </c>
      <c r="C219" s="316" t="s">
        <v>797</v>
      </c>
      <c r="D219" s="226" t="s">
        <v>713</v>
      </c>
    </row>
    <row r="220" spans="1:9">
      <c r="A220" s="315" t="s">
        <v>734</v>
      </c>
      <c r="B220" s="314" t="s">
        <v>737</v>
      </c>
      <c r="C220" s="316" t="s">
        <v>798</v>
      </c>
      <c r="D220" s="226" t="s">
        <v>715</v>
      </c>
    </row>
    <row r="221" spans="1:9">
      <c r="A221" s="315" t="s">
        <v>739</v>
      </c>
      <c r="B221" s="314" t="s">
        <v>735</v>
      </c>
      <c r="C221" s="316" t="s">
        <v>782</v>
      </c>
      <c r="D221" s="226" t="s">
        <v>717</v>
      </c>
    </row>
    <row r="222" spans="1:9">
      <c r="A222" s="315" t="s">
        <v>739</v>
      </c>
      <c r="B222" s="314" t="s">
        <v>737</v>
      </c>
      <c r="C222" s="316" t="s">
        <v>783</v>
      </c>
      <c r="D222" s="226" t="s">
        <v>719</v>
      </c>
    </row>
    <row r="223" spans="1:9">
      <c r="A223" s="315" t="s">
        <v>742</v>
      </c>
      <c r="B223" s="314" t="s">
        <v>735</v>
      </c>
      <c r="C223" s="316" t="s">
        <v>784</v>
      </c>
      <c r="D223" s="226" t="s">
        <v>721</v>
      </c>
    </row>
    <row r="224" spans="1:9" ht="15" thickBot="1">
      <c r="A224" s="317" t="s">
        <v>742</v>
      </c>
      <c r="B224" s="318" t="s">
        <v>737</v>
      </c>
      <c r="C224" s="319" t="s">
        <v>785</v>
      </c>
      <c r="D224" s="226" t="s">
        <v>722</v>
      </c>
    </row>
  </sheetData>
  <mergeCells count="16">
    <mergeCell ref="A83:C83"/>
    <mergeCell ref="A84:C84"/>
    <mergeCell ref="A85:C85"/>
    <mergeCell ref="A86:C86"/>
    <mergeCell ref="A130:F130"/>
    <mergeCell ref="A141:C141"/>
    <mergeCell ref="A142:C142"/>
    <mergeCell ref="A144:C144"/>
    <mergeCell ref="A175:C175"/>
    <mergeCell ref="A176:C176"/>
    <mergeCell ref="A213:C213"/>
    <mergeCell ref="A214:C214"/>
    <mergeCell ref="A216:C216"/>
    <mergeCell ref="A165:F165"/>
    <mergeCell ref="A194:G194"/>
    <mergeCell ref="A178:C178"/>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O59"/>
  <sheetViews>
    <sheetView topLeftCell="A19" zoomScaleNormal="100" workbookViewId="0">
      <selection activeCell="F18" sqref="F18"/>
    </sheetView>
  </sheetViews>
  <sheetFormatPr baseColWidth="10" defaultRowHeight="14.5"/>
  <cols>
    <col min="1" max="1" width="6.08984375" customWidth="1"/>
  </cols>
  <sheetData>
    <row r="1" spans="1:15" ht="30">
      <c r="B1" s="67" t="s">
        <v>128</v>
      </c>
    </row>
    <row r="2" spans="1:15">
      <c r="B2" s="8"/>
    </row>
    <row r="3" spans="1:15">
      <c r="A3" t="s">
        <v>580</v>
      </c>
      <c r="B3" s="306">
        <v>44204</v>
      </c>
      <c r="D3" t="s">
        <v>579</v>
      </c>
      <c r="E3" s="68">
        <v>44657</v>
      </c>
      <c r="F3" s="68"/>
      <c r="G3" s="68"/>
      <c r="H3" t="s">
        <v>581</v>
      </c>
      <c r="L3" t="s">
        <v>400</v>
      </c>
    </row>
    <row r="4" spans="1:15">
      <c r="B4" s="8"/>
    </row>
    <row r="5" spans="1:15">
      <c r="B5" s="69" t="s">
        <v>129</v>
      </c>
    </row>
    <row r="6" spans="1:15">
      <c r="B6" s="69" t="s">
        <v>130</v>
      </c>
    </row>
    <row r="7" spans="1:15">
      <c r="B7" s="52"/>
    </row>
    <row r="8" spans="1:15" ht="28.5" thickBot="1">
      <c r="B8" s="533" t="s">
        <v>131</v>
      </c>
      <c r="C8" s="534"/>
      <c r="D8" s="60" t="s">
        <v>132</v>
      </c>
      <c r="E8" s="539" t="s">
        <v>134</v>
      </c>
      <c r="F8" s="540"/>
      <c r="G8" s="540"/>
      <c r="H8" s="541"/>
      <c r="I8" s="542" t="s">
        <v>135</v>
      </c>
      <c r="J8" s="534"/>
      <c r="K8" s="61"/>
    </row>
    <row r="9" spans="1:15" ht="28">
      <c r="B9" s="535"/>
      <c r="C9" s="536"/>
      <c r="D9" s="53" t="s">
        <v>133</v>
      </c>
      <c r="E9" s="55" t="s">
        <v>136</v>
      </c>
      <c r="F9" s="55"/>
      <c r="G9" s="55"/>
      <c r="H9" s="55" t="s">
        <v>64</v>
      </c>
      <c r="I9" s="543"/>
      <c r="J9" s="536"/>
      <c r="K9" s="63"/>
    </row>
    <row r="10" spans="1:15" ht="15" thickBot="1">
      <c r="B10" s="537"/>
      <c r="C10" s="538"/>
      <c r="D10" s="54"/>
      <c r="E10" s="56" t="s">
        <v>133</v>
      </c>
      <c r="F10" s="453">
        <v>43831</v>
      </c>
      <c r="G10" s="56"/>
      <c r="H10" s="56" t="s">
        <v>133</v>
      </c>
      <c r="I10" s="544"/>
      <c r="J10" s="538"/>
      <c r="K10" s="63"/>
    </row>
    <row r="11" spans="1:15" ht="15" thickBot="1">
      <c r="B11" s="545" t="s">
        <v>137</v>
      </c>
      <c r="C11" s="546"/>
      <c r="D11" s="546"/>
      <c r="E11" s="546"/>
      <c r="F11" s="546"/>
      <c r="G11" s="546"/>
      <c r="H11" s="546"/>
      <c r="I11" s="546"/>
      <c r="J11" s="547"/>
      <c r="K11" s="63"/>
    </row>
    <row r="12" spans="1:15" ht="41.4" customHeight="1" thickBot="1">
      <c r="A12" t="s">
        <v>400</v>
      </c>
      <c r="B12" s="548" t="s">
        <v>138</v>
      </c>
      <c r="C12" s="549"/>
      <c r="D12" s="73" t="s">
        <v>139</v>
      </c>
      <c r="E12" s="73" t="s">
        <v>139</v>
      </c>
      <c r="F12" s="421" t="s">
        <v>981</v>
      </c>
      <c r="G12" s="416">
        <v>7.0000000000000007E-2</v>
      </c>
      <c r="H12" s="73"/>
      <c r="I12" s="550" t="s">
        <v>140</v>
      </c>
      <c r="J12" s="551"/>
      <c r="K12" s="63"/>
    </row>
    <row r="13" spans="1:15" ht="15" customHeight="1" thickBot="1">
      <c r="A13" t="s">
        <v>400</v>
      </c>
      <c r="B13" s="548" t="s">
        <v>141</v>
      </c>
      <c r="C13" s="549"/>
      <c r="D13" s="57">
        <v>0.3</v>
      </c>
      <c r="E13" s="57">
        <v>0.3</v>
      </c>
      <c r="F13" s="421" t="s">
        <v>981</v>
      </c>
      <c r="G13" s="417">
        <v>3.0000000000000001E-3</v>
      </c>
      <c r="H13" s="57"/>
      <c r="I13" s="552"/>
      <c r="J13" s="553"/>
      <c r="K13" s="63"/>
    </row>
    <row r="14" spans="1:15" ht="28.5" thickBot="1">
      <c r="A14" t="s">
        <v>400</v>
      </c>
      <c r="B14" s="548" t="s">
        <v>142</v>
      </c>
      <c r="C14" s="549"/>
      <c r="D14" s="73" t="s">
        <v>143</v>
      </c>
      <c r="E14" s="73" t="s">
        <v>143</v>
      </c>
      <c r="F14" s="421" t="s">
        <v>981</v>
      </c>
      <c r="G14" s="416">
        <v>3.4500000000000003E-2</v>
      </c>
      <c r="H14" s="73"/>
      <c r="I14" s="552"/>
      <c r="J14" s="553"/>
      <c r="K14" s="63"/>
      <c r="M14">
        <f>3.45+1.8</f>
        <v>5.25</v>
      </c>
      <c r="N14">
        <f>5.25/100</f>
        <v>5.2499999999999998E-2</v>
      </c>
      <c r="O14">
        <v>5.2499999999999998E-2</v>
      </c>
    </row>
    <row r="15" spans="1:15" ht="27.65" customHeight="1" thickBot="1">
      <c r="A15" t="s">
        <v>400</v>
      </c>
      <c r="B15" s="548" t="s">
        <v>144</v>
      </c>
      <c r="C15" s="549"/>
      <c r="D15" s="57">
        <v>2.2999999999999998</v>
      </c>
      <c r="E15" s="57">
        <v>1.9</v>
      </c>
      <c r="F15" s="421" t="s">
        <v>981</v>
      </c>
      <c r="G15" s="417">
        <v>1.9E-2</v>
      </c>
      <c r="H15" s="57">
        <v>0.4</v>
      </c>
      <c r="I15" s="552"/>
      <c r="J15" s="553"/>
      <c r="K15" s="63"/>
    </row>
    <row r="16" spans="1:15" ht="27.65" customHeight="1" thickBot="1">
      <c r="A16" t="s">
        <v>400</v>
      </c>
      <c r="B16" s="556" t="s">
        <v>145</v>
      </c>
      <c r="C16" s="557"/>
      <c r="D16" s="73">
        <v>0.5</v>
      </c>
      <c r="E16" s="73">
        <v>0.5</v>
      </c>
      <c r="F16" s="421" t="s">
        <v>981</v>
      </c>
      <c r="G16" s="416">
        <v>5.0000000000000001E-3</v>
      </c>
      <c r="H16" s="73"/>
      <c r="I16" s="552"/>
      <c r="J16" s="553"/>
      <c r="K16" s="63"/>
    </row>
    <row r="17" spans="1:13" ht="27.65" customHeight="1" thickBot="1">
      <c r="A17" t="s">
        <v>400</v>
      </c>
      <c r="B17" s="558" t="s">
        <v>146</v>
      </c>
      <c r="C17" s="559"/>
      <c r="D17" s="195">
        <v>1.6E-2</v>
      </c>
      <c r="E17" s="195">
        <v>1.6E-2</v>
      </c>
      <c r="F17" s="195"/>
      <c r="G17" s="418"/>
      <c r="H17" s="196"/>
      <c r="I17" s="552"/>
      <c r="J17" s="553"/>
      <c r="K17" s="63"/>
    </row>
    <row r="18" spans="1:13" ht="27.65" customHeight="1" thickBot="1">
      <c r="A18" t="s">
        <v>400</v>
      </c>
      <c r="B18" s="548" t="s">
        <v>147</v>
      </c>
      <c r="C18" s="549"/>
      <c r="D18" s="560" t="s">
        <v>148</v>
      </c>
      <c r="E18" s="561"/>
      <c r="F18" s="422" t="s">
        <v>981</v>
      </c>
      <c r="G18" s="419">
        <v>7.0000000000000001E-3</v>
      </c>
      <c r="H18" s="73"/>
      <c r="I18" s="554"/>
      <c r="J18" s="555"/>
      <c r="K18" s="63"/>
      <c r="M18">
        <f>0.45/100</f>
        <v>4.5000000000000005E-3</v>
      </c>
    </row>
    <row r="19" spans="1:13" ht="15" thickBot="1">
      <c r="A19" t="s">
        <v>400</v>
      </c>
      <c r="B19" s="548" t="s">
        <v>149</v>
      </c>
      <c r="C19" s="549"/>
      <c r="D19" s="73">
        <v>6.8</v>
      </c>
      <c r="E19" s="73"/>
      <c r="F19" s="73"/>
      <c r="G19" s="416"/>
      <c r="H19" s="73">
        <v>6.8</v>
      </c>
      <c r="I19" s="550" t="s">
        <v>150</v>
      </c>
      <c r="J19" s="562"/>
      <c r="K19" s="563"/>
    </row>
    <row r="20" spans="1:13" ht="15" thickBot="1">
      <c r="A20" t="s">
        <v>400</v>
      </c>
      <c r="B20" s="548" t="s">
        <v>151</v>
      </c>
      <c r="C20" s="549"/>
      <c r="D20" s="75">
        <v>2.4</v>
      </c>
      <c r="E20" s="75"/>
      <c r="F20" s="75"/>
      <c r="G20" s="420"/>
      <c r="H20" s="75">
        <v>2.4</v>
      </c>
      <c r="I20" s="552"/>
      <c r="J20" s="564"/>
      <c r="K20" s="565"/>
    </row>
    <row r="21" spans="1:13" ht="15" thickBot="1">
      <c r="A21" t="s">
        <v>400</v>
      </c>
      <c r="B21" s="548" t="s">
        <v>152</v>
      </c>
      <c r="C21" s="549"/>
      <c r="D21" s="73">
        <v>0.5</v>
      </c>
      <c r="E21" s="73"/>
      <c r="F21" s="73"/>
      <c r="G21" s="416"/>
      <c r="H21" s="73">
        <v>0.5</v>
      </c>
      <c r="I21" s="554"/>
      <c r="J21" s="566"/>
      <c r="K21" s="567"/>
    </row>
    <row r="22" spans="1:13" ht="27.65" customHeight="1" thickBot="1">
      <c r="A22" t="s">
        <v>400</v>
      </c>
      <c r="B22" s="548" t="s">
        <v>153</v>
      </c>
      <c r="C22" s="549"/>
      <c r="D22" s="57">
        <v>15.45</v>
      </c>
      <c r="E22" s="57">
        <v>8.5500000000000007</v>
      </c>
      <c r="F22" s="421" t="s">
        <v>981</v>
      </c>
      <c r="G22" s="417">
        <v>8.5500000000000007E-2</v>
      </c>
      <c r="H22" s="57">
        <v>6.9</v>
      </c>
      <c r="I22" s="568" t="s">
        <v>154</v>
      </c>
      <c r="K22" s="63"/>
    </row>
    <row r="23" spans="1:13" ht="27.65" customHeight="1" thickBot="1">
      <c r="A23" t="s">
        <v>400</v>
      </c>
      <c r="B23" s="570" t="s">
        <v>155</v>
      </c>
      <c r="C23" s="571"/>
      <c r="D23" s="73">
        <v>0.1</v>
      </c>
      <c r="E23" s="73">
        <v>0.1</v>
      </c>
      <c r="F23" s="421" t="s">
        <v>981</v>
      </c>
      <c r="G23" s="416">
        <v>1E-3</v>
      </c>
      <c r="H23" s="73"/>
      <c r="I23" s="569"/>
      <c r="K23" s="63"/>
    </row>
    <row r="24" spans="1:13" ht="15" thickBot="1">
      <c r="A24" t="s">
        <v>400</v>
      </c>
      <c r="B24" s="548" t="s">
        <v>156</v>
      </c>
      <c r="C24" s="549"/>
      <c r="D24" s="73">
        <v>4.05</v>
      </c>
      <c r="E24" s="73">
        <v>4.05</v>
      </c>
      <c r="F24" s="421" t="s">
        <v>981</v>
      </c>
      <c r="G24" s="416">
        <v>4.0500000000000001E-2</v>
      </c>
      <c r="H24" s="73"/>
      <c r="I24" s="572" t="s">
        <v>157</v>
      </c>
      <c r="K24" s="63"/>
    </row>
    <row r="25" spans="1:13" ht="15" thickBot="1">
      <c r="A25" t="s">
        <v>400</v>
      </c>
      <c r="B25" s="548" t="s">
        <v>158</v>
      </c>
      <c r="C25" s="549"/>
      <c r="D25" s="73">
        <v>0.15</v>
      </c>
      <c r="E25" s="73">
        <v>0.15</v>
      </c>
      <c r="F25" s="73"/>
      <c r="G25" s="415"/>
      <c r="H25" s="73"/>
      <c r="I25" s="573"/>
      <c r="K25" s="63"/>
    </row>
    <row r="26" spans="1:13" ht="15" thickBot="1">
      <c r="B26" s="545" t="s">
        <v>159</v>
      </c>
      <c r="C26" s="546"/>
      <c r="D26" s="546"/>
      <c r="E26" s="546"/>
      <c r="F26" s="546"/>
      <c r="G26" s="546"/>
      <c r="H26" s="546"/>
      <c r="I26" s="547"/>
      <c r="K26" s="63"/>
    </row>
    <row r="27" spans="1:13" ht="42.5" thickBot="1">
      <c r="A27" t="s">
        <v>400</v>
      </c>
      <c r="B27" s="574" t="s">
        <v>160</v>
      </c>
      <c r="C27" s="98" t="s">
        <v>161</v>
      </c>
      <c r="D27" s="73">
        <v>7.87</v>
      </c>
      <c r="E27" s="73">
        <v>4.72</v>
      </c>
      <c r="F27" s="421" t="s">
        <v>981</v>
      </c>
      <c r="G27" s="416">
        <v>4.7199999999999999E-2</v>
      </c>
      <c r="H27" s="73">
        <v>3.15</v>
      </c>
      <c r="I27" s="568" t="s">
        <v>154</v>
      </c>
      <c r="K27" s="63"/>
    </row>
    <row r="28" spans="1:13" ht="28.5" thickBot="1">
      <c r="A28" t="s">
        <v>400</v>
      </c>
      <c r="B28" s="575"/>
      <c r="C28" s="98" t="s">
        <v>162</v>
      </c>
      <c r="D28" s="73">
        <v>2.15</v>
      </c>
      <c r="E28" s="73">
        <v>1.29</v>
      </c>
      <c r="F28" s="421" t="s">
        <v>981</v>
      </c>
      <c r="G28" s="416">
        <v>1.29E-2</v>
      </c>
      <c r="H28" s="73">
        <v>0.86</v>
      </c>
      <c r="I28" s="569"/>
      <c r="K28" s="63"/>
    </row>
    <row r="29" spans="1:13" ht="42.5" thickBot="1">
      <c r="A29" t="s">
        <v>400</v>
      </c>
      <c r="B29" s="575"/>
      <c r="C29" s="98" t="s">
        <v>163</v>
      </c>
      <c r="D29" s="75">
        <v>21.59</v>
      </c>
      <c r="E29" s="75">
        <v>12.95</v>
      </c>
      <c r="F29" s="75"/>
      <c r="G29" s="75"/>
      <c r="H29" s="75">
        <v>8.64</v>
      </c>
      <c r="I29" s="568" t="s">
        <v>164</v>
      </c>
      <c r="K29" s="63"/>
    </row>
    <row r="30" spans="1:13" ht="28.5" thickBot="1">
      <c r="A30" t="s">
        <v>400</v>
      </c>
      <c r="B30" s="575"/>
      <c r="C30" s="98" t="s">
        <v>165</v>
      </c>
      <c r="D30" s="75">
        <v>2.7</v>
      </c>
      <c r="E30" s="75">
        <v>1.62</v>
      </c>
      <c r="F30" s="75"/>
      <c r="G30" s="75"/>
      <c r="H30" s="75">
        <v>1.08</v>
      </c>
      <c r="I30" s="569"/>
      <c r="K30" s="63"/>
      <c r="L30">
        <f>98.25/100</f>
        <v>0.98250000000000004</v>
      </c>
    </row>
    <row r="31" spans="1:13" ht="98.5" thickBot="1">
      <c r="A31" t="s">
        <v>400</v>
      </c>
      <c r="B31" s="576"/>
      <c r="C31" s="98" t="s">
        <v>166</v>
      </c>
      <c r="D31" s="75">
        <v>0.35</v>
      </c>
      <c r="E31" s="75">
        <v>0.21</v>
      </c>
      <c r="F31" s="75"/>
      <c r="G31" s="75"/>
      <c r="H31" s="75">
        <v>0.14000000000000001</v>
      </c>
      <c r="I31" s="73" t="s">
        <v>167</v>
      </c>
      <c r="K31" s="63"/>
    </row>
    <row r="32" spans="1:13" ht="42.5" thickBot="1">
      <c r="A32" t="s">
        <v>400</v>
      </c>
      <c r="B32" s="574" t="s">
        <v>168</v>
      </c>
      <c r="C32" s="59" t="s">
        <v>169</v>
      </c>
      <c r="D32" s="58">
        <v>1.5</v>
      </c>
      <c r="E32" s="58" t="s">
        <v>170</v>
      </c>
      <c r="F32" s="58"/>
      <c r="G32" s="58"/>
      <c r="H32" s="59"/>
      <c r="I32" s="58" t="s">
        <v>171</v>
      </c>
      <c r="K32" s="63"/>
    </row>
    <row r="33" spans="1:11" ht="28.5" thickBot="1">
      <c r="A33" t="s">
        <v>400</v>
      </c>
      <c r="B33" s="576"/>
      <c r="C33" s="74" t="s">
        <v>172</v>
      </c>
      <c r="D33" s="73">
        <v>0.06</v>
      </c>
      <c r="E33" s="73">
        <v>3.5999999999999997E-2</v>
      </c>
      <c r="F33" s="73"/>
      <c r="G33" s="73"/>
      <c r="H33" s="73">
        <v>2.4E-2</v>
      </c>
      <c r="I33" s="73" t="s">
        <v>157</v>
      </c>
      <c r="K33" s="63"/>
    </row>
    <row r="34" spans="1:11" ht="15" thickBot="1">
      <c r="B34" s="545" t="s">
        <v>173</v>
      </c>
      <c r="C34" s="546"/>
      <c r="D34" s="546"/>
      <c r="E34" s="546"/>
      <c r="F34" s="546"/>
      <c r="G34" s="546"/>
      <c r="H34" s="546"/>
      <c r="I34" s="547"/>
      <c r="K34" s="63"/>
    </row>
    <row r="35" spans="1:11" ht="15" thickBot="1">
      <c r="B35" s="577" t="s">
        <v>174</v>
      </c>
      <c r="C35" s="578"/>
      <c r="D35" s="57">
        <v>4.25</v>
      </c>
      <c r="E35" s="57">
        <v>4.25</v>
      </c>
      <c r="F35" s="408"/>
      <c r="G35" s="408"/>
      <c r="H35" s="568"/>
      <c r="I35" s="568" t="s">
        <v>140</v>
      </c>
      <c r="K35" s="63"/>
    </row>
    <row r="36" spans="1:11" ht="27.65" customHeight="1" thickBot="1">
      <c r="A36" t="s">
        <v>400</v>
      </c>
      <c r="B36" s="577" t="s">
        <v>175</v>
      </c>
      <c r="C36" s="578"/>
      <c r="D36" s="57">
        <v>0.45</v>
      </c>
      <c r="E36" s="57">
        <v>0.45</v>
      </c>
      <c r="F36" s="409"/>
      <c r="G36" s="409"/>
      <c r="H36" s="579"/>
      <c r="I36" s="579"/>
      <c r="K36" s="63"/>
    </row>
    <row r="37" spans="1:11" ht="15" thickBot="1">
      <c r="A37" t="s">
        <v>400</v>
      </c>
      <c r="B37" s="577" t="s">
        <v>176</v>
      </c>
      <c r="C37" s="578"/>
      <c r="D37" s="57">
        <v>0.68</v>
      </c>
      <c r="E37" s="57">
        <v>0.68</v>
      </c>
      <c r="F37" s="409"/>
      <c r="G37" s="409"/>
      <c r="H37" s="579"/>
      <c r="I37" s="579"/>
      <c r="J37">
        <f>0.68/100</f>
        <v>6.8000000000000005E-3</v>
      </c>
      <c r="K37" s="63"/>
    </row>
    <row r="38" spans="1:11" ht="15" thickBot="1">
      <c r="B38" s="62"/>
      <c r="H38" s="579"/>
      <c r="I38" s="579"/>
      <c r="K38" s="63"/>
    </row>
    <row r="39" spans="1:11" ht="27.65" customHeight="1" thickBot="1">
      <c r="A39" t="s">
        <v>400</v>
      </c>
      <c r="B39" s="581" t="s">
        <v>177</v>
      </c>
      <c r="C39" s="582"/>
      <c r="D39" s="57">
        <v>1</v>
      </c>
      <c r="E39" s="57">
        <v>1</v>
      </c>
      <c r="F39" s="409"/>
      <c r="G39" s="409"/>
      <c r="H39" s="579"/>
      <c r="I39" s="579"/>
      <c r="K39" s="63"/>
    </row>
    <row r="40" spans="1:11" ht="27.65" customHeight="1" thickBot="1">
      <c r="A40" t="s">
        <v>400</v>
      </c>
      <c r="B40" s="581" t="s">
        <v>178</v>
      </c>
      <c r="C40" s="582"/>
      <c r="D40" s="57">
        <v>0.55000000000000004</v>
      </c>
      <c r="E40" s="57">
        <v>0.55000000000000004</v>
      </c>
      <c r="F40" s="409"/>
      <c r="G40" s="409"/>
      <c r="H40" s="579"/>
      <c r="I40" s="579"/>
      <c r="K40" s="63"/>
    </row>
    <row r="41" spans="1:11">
      <c r="B41" s="64"/>
      <c r="C41" s="65"/>
      <c r="D41" s="65"/>
      <c r="E41" s="65"/>
      <c r="F41" s="65"/>
      <c r="G41" s="65"/>
      <c r="H41" s="580"/>
      <c r="I41" s="580"/>
      <c r="J41" s="65"/>
      <c r="K41" s="66"/>
    </row>
    <row r="42" spans="1:11">
      <c r="B42" s="51"/>
    </row>
    <row r="43" spans="1:11">
      <c r="B43" s="175" t="s">
        <v>179</v>
      </c>
    </row>
    <row r="44" spans="1:11">
      <c r="B44" s="8"/>
    </row>
    <row r="45" spans="1:11">
      <c r="B45" s="175" t="s">
        <v>180</v>
      </c>
    </row>
    <row r="46" spans="1:11">
      <c r="B46" s="8"/>
    </row>
    <row r="47" spans="1:11">
      <c r="B47" s="175" t="s">
        <v>181</v>
      </c>
    </row>
    <row r="48" spans="1:11">
      <c r="B48" s="175" t="s">
        <v>182</v>
      </c>
    </row>
    <row r="49" spans="2:2">
      <c r="B49" s="8"/>
    </row>
    <row r="50" spans="2:2">
      <c r="B50" s="175" t="s">
        <v>183</v>
      </c>
    </row>
    <row r="51" spans="2:2">
      <c r="B51" s="8"/>
    </row>
    <row r="52" spans="2:2">
      <c r="B52" s="69" t="s">
        <v>184</v>
      </c>
    </row>
    <row r="53" spans="2:2">
      <c r="B53" s="8"/>
    </row>
    <row r="54" spans="2:2">
      <c r="B54" s="69" t="s">
        <v>185</v>
      </c>
    </row>
    <row r="55" spans="2:2">
      <c r="B55" s="8"/>
    </row>
    <row r="56" spans="2:2">
      <c r="B56" s="175" t="s">
        <v>186</v>
      </c>
    </row>
    <row r="57" spans="2:2">
      <c r="B57" s="8"/>
    </row>
    <row r="58" spans="2:2">
      <c r="B58" s="175" t="s">
        <v>187</v>
      </c>
    </row>
    <row r="59" spans="2:2">
      <c r="B59" s="175" t="s">
        <v>188</v>
      </c>
    </row>
  </sheetData>
  <mergeCells count="36">
    <mergeCell ref="B35:C35"/>
    <mergeCell ref="H35:H41"/>
    <mergeCell ref="I35:I41"/>
    <mergeCell ref="B36:C36"/>
    <mergeCell ref="B37:C37"/>
    <mergeCell ref="B39:C39"/>
    <mergeCell ref="B40:C40"/>
    <mergeCell ref="B19:C19"/>
    <mergeCell ref="I19:K21"/>
    <mergeCell ref="B20:C20"/>
    <mergeCell ref="B21:C21"/>
    <mergeCell ref="B34:I34"/>
    <mergeCell ref="B22:C22"/>
    <mergeCell ref="I22:I23"/>
    <mergeCell ref="B23:C23"/>
    <mergeCell ref="B24:C24"/>
    <mergeCell ref="I24:I25"/>
    <mergeCell ref="B25:C25"/>
    <mergeCell ref="B26:I26"/>
    <mergeCell ref="B27:B31"/>
    <mergeCell ref="I27:I28"/>
    <mergeCell ref="I29:I30"/>
    <mergeCell ref="B32:B33"/>
    <mergeCell ref="B8:C10"/>
    <mergeCell ref="E8:H8"/>
    <mergeCell ref="I8:J10"/>
    <mergeCell ref="B11:J11"/>
    <mergeCell ref="B12:C12"/>
    <mergeCell ref="I12:J18"/>
    <mergeCell ref="B13:C13"/>
    <mergeCell ref="B14:C14"/>
    <mergeCell ref="B15:C15"/>
    <mergeCell ref="B16:C16"/>
    <mergeCell ref="B17:C17"/>
    <mergeCell ref="B18:C18"/>
    <mergeCell ref="D18:E18"/>
  </mergeCells>
  <hyperlinks>
    <hyperlink ref="B3" r:id="rId1" display="https://www.efl.fr/archives/2021/01"/>
    <hyperlink ref="E3" r:id="rId2" display="https://www.efl.fr/archives/2021/01"/>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P46"/>
  <sheetViews>
    <sheetView topLeftCell="A27" zoomScaleNormal="100" workbookViewId="0">
      <selection activeCell="D34" sqref="D34:E34"/>
    </sheetView>
  </sheetViews>
  <sheetFormatPr baseColWidth="10" defaultRowHeight="14.5"/>
  <cols>
    <col min="3" max="3" width="12.7265625" customWidth="1"/>
    <col min="5" max="5" width="6.08984375" customWidth="1"/>
    <col min="6" max="6" width="15.81640625" customWidth="1"/>
    <col min="8" max="8" width="13.7265625" customWidth="1"/>
    <col min="11" max="11" width="29.08984375" bestFit="1" customWidth="1"/>
    <col min="12" max="12" width="14.26953125" customWidth="1"/>
    <col min="15" max="15" width="17.08984375" customWidth="1"/>
  </cols>
  <sheetData>
    <row r="1" spans="1:16" ht="50">
      <c r="B1" s="78" t="s">
        <v>190</v>
      </c>
      <c r="C1" s="78" t="s">
        <v>0</v>
      </c>
      <c r="D1" s="78" t="s">
        <v>191</v>
      </c>
      <c r="E1" s="78" t="s">
        <v>192</v>
      </c>
      <c r="F1" s="78" t="s">
        <v>193</v>
      </c>
      <c r="G1" s="78" t="s">
        <v>194</v>
      </c>
      <c r="I1" s="76" t="s">
        <v>208</v>
      </c>
      <c r="K1" s="80"/>
    </row>
    <row r="2" spans="1:16" ht="25">
      <c r="B2" s="79" t="s">
        <v>195</v>
      </c>
      <c r="C2" s="79" t="s">
        <v>196</v>
      </c>
      <c r="D2" s="79" t="s">
        <v>197</v>
      </c>
      <c r="E2" s="79" t="s">
        <v>198</v>
      </c>
      <c r="F2" s="79" t="s">
        <v>197</v>
      </c>
      <c r="G2" s="79" t="s">
        <v>199</v>
      </c>
      <c r="H2" t="s">
        <v>219</v>
      </c>
      <c r="J2" s="82" t="s">
        <v>212</v>
      </c>
      <c r="K2" s="83">
        <v>3586.59</v>
      </c>
    </row>
    <row r="3" spans="1:16" ht="25">
      <c r="B3" s="78" t="s">
        <v>200</v>
      </c>
      <c r="C3" s="78" t="s">
        <v>201</v>
      </c>
      <c r="D3" s="78" t="s">
        <v>202</v>
      </c>
      <c r="E3" s="78" t="s">
        <v>203</v>
      </c>
      <c r="F3" s="78" t="s">
        <v>202</v>
      </c>
      <c r="G3" s="78" t="s">
        <v>199</v>
      </c>
      <c r="J3" s="78" t="s">
        <v>209</v>
      </c>
      <c r="K3" s="4" t="s">
        <v>210</v>
      </c>
      <c r="M3">
        <f>13712/3428</f>
        <v>4</v>
      </c>
      <c r="N3" s="81">
        <f>+K2-3428</f>
        <v>158.59000000000015</v>
      </c>
      <c r="O3" s="81"/>
    </row>
    <row r="4" spans="1:16" ht="25">
      <c r="B4" s="79" t="s">
        <v>204</v>
      </c>
      <c r="C4" s="79" t="s">
        <v>205</v>
      </c>
      <c r="D4" s="79" t="s">
        <v>206</v>
      </c>
      <c r="E4" s="79" t="s">
        <v>207</v>
      </c>
      <c r="F4" s="79" t="s">
        <v>206</v>
      </c>
      <c r="G4" s="79" t="s">
        <v>199</v>
      </c>
      <c r="J4" s="78"/>
      <c r="K4" s="4" t="s">
        <v>211</v>
      </c>
      <c r="M4" t="s">
        <v>220</v>
      </c>
      <c r="N4">
        <f>27424/8</f>
        <v>3428</v>
      </c>
    </row>
    <row r="5" spans="1:16">
      <c r="J5" s="87" t="s">
        <v>213</v>
      </c>
      <c r="K5" s="80" t="s">
        <v>217</v>
      </c>
    </row>
    <row r="6" spans="1:16">
      <c r="D6" s="94" t="s">
        <v>224</v>
      </c>
      <c r="J6" s="87" t="s">
        <v>213</v>
      </c>
      <c r="K6" s="84" t="s">
        <v>218</v>
      </c>
      <c r="L6" s="19"/>
    </row>
    <row r="7" spans="1:16">
      <c r="J7" s="89" t="s">
        <v>214</v>
      </c>
      <c r="K7" s="85" t="s">
        <v>215</v>
      </c>
    </row>
    <row r="8" spans="1:16" ht="14.4" customHeight="1">
      <c r="B8" s="97" t="s">
        <v>212</v>
      </c>
      <c r="C8" s="96">
        <v>3586.59</v>
      </c>
      <c r="D8" s="95" t="s">
        <v>222</v>
      </c>
      <c r="E8" s="95"/>
      <c r="F8" s="95"/>
      <c r="J8" s="89" t="s">
        <v>214</v>
      </c>
      <c r="K8" s="85" t="s">
        <v>216</v>
      </c>
      <c r="L8" s="19"/>
      <c r="M8" s="19"/>
      <c r="N8" s="19"/>
      <c r="O8" s="19"/>
      <c r="P8" s="19"/>
    </row>
    <row r="9" spans="1:16" ht="14.4" customHeight="1">
      <c r="D9" s="94" t="s">
        <v>223</v>
      </c>
      <c r="J9" s="89"/>
      <c r="K9" s="85"/>
      <c r="L9" s="19"/>
      <c r="M9" s="19"/>
      <c r="N9" s="19"/>
      <c r="O9" s="19"/>
      <c r="P9" s="19"/>
    </row>
    <row r="10" spans="1:16" ht="14.4" customHeight="1">
      <c r="J10" s="89"/>
      <c r="K10" s="85"/>
      <c r="L10" s="19"/>
      <c r="M10" s="19"/>
      <c r="N10" s="19"/>
      <c r="O10" s="19"/>
      <c r="P10" s="19"/>
    </row>
    <row r="11" spans="1:16" s="19" customFormat="1" ht="12" customHeight="1">
      <c r="A11"/>
      <c r="B11"/>
      <c r="C11"/>
      <c r="D11" s="128" t="s">
        <v>221</v>
      </c>
      <c r="E11" s="87"/>
      <c r="F11" s="87" t="s">
        <v>229</v>
      </c>
      <c r="G11" t="s">
        <v>230</v>
      </c>
      <c r="H11"/>
      <c r="I11"/>
      <c r="J11" s="19" t="s">
        <v>225</v>
      </c>
      <c r="K11" s="90">
        <v>4.2000000000000003E-2</v>
      </c>
    </row>
    <row r="12" spans="1:16">
      <c r="F12" t="s">
        <v>232</v>
      </c>
      <c r="G12" t="s">
        <v>231</v>
      </c>
    </row>
    <row r="13" spans="1:16">
      <c r="C13" s="96"/>
      <c r="D13" s="95"/>
      <c r="E13" s="95"/>
      <c r="F13" s="95"/>
    </row>
    <row r="14" spans="1:16" s="19" customFormat="1" ht="12" customHeight="1">
      <c r="A14" s="585" t="s">
        <v>70</v>
      </c>
      <c r="B14" s="586"/>
      <c r="C14" s="587"/>
      <c r="D14" s="585" t="s">
        <v>71</v>
      </c>
      <c r="E14" s="587"/>
      <c r="F14" s="18" t="s">
        <v>79</v>
      </c>
      <c r="G14" s="18" t="s">
        <v>80</v>
      </c>
      <c r="H14" s="18" t="s">
        <v>81</v>
      </c>
      <c r="I14" s="588" t="s">
        <v>82</v>
      </c>
      <c r="J14" s="589"/>
    </row>
    <row r="15" spans="1:16" s="19" customFormat="1" ht="11.25" customHeight="1">
      <c r="A15" s="594" t="s">
        <v>83</v>
      </c>
      <c r="B15" s="595"/>
      <c r="C15" s="596"/>
      <c r="D15" s="597"/>
      <c r="E15" s="598"/>
      <c r="F15" s="26"/>
      <c r="G15" s="26"/>
      <c r="H15" s="26"/>
      <c r="I15" s="597"/>
      <c r="J15" s="598"/>
    </row>
    <row r="16" spans="1:16" s="19" customFormat="1" ht="11.25" customHeight="1">
      <c r="A16" s="599" t="s">
        <v>84</v>
      </c>
      <c r="B16" s="600"/>
      <c r="C16" s="601"/>
      <c r="D16" s="590">
        <v>3586.59</v>
      </c>
      <c r="E16" s="591"/>
      <c r="F16" s="27"/>
      <c r="G16" s="27"/>
      <c r="H16" s="134">
        <v>7.0000000000000007E-2</v>
      </c>
      <c r="I16" s="602">
        <f>+D16*H16</f>
        <v>251.06130000000005</v>
      </c>
      <c r="J16" s="603"/>
    </row>
    <row r="17" spans="1:16" s="19" customFormat="1" ht="11.25" customHeight="1">
      <c r="A17" s="599" t="s">
        <v>144</v>
      </c>
      <c r="B17" s="600"/>
      <c r="C17" s="601"/>
      <c r="D17" s="609">
        <v>3586.59</v>
      </c>
      <c r="E17" s="610"/>
      <c r="F17" s="86">
        <v>4.0000000000000001E-3</v>
      </c>
      <c r="G17" s="30">
        <f>+D17*F17</f>
        <v>14.346360000000001</v>
      </c>
      <c r="H17" s="86">
        <v>1.9E-2</v>
      </c>
      <c r="I17" s="602">
        <f>+D17*H17</f>
        <v>68.145210000000006</v>
      </c>
      <c r="J17" s="603">
        <f>+G17*I17</f>
        <v>977.63571493560016</v>
      </c>
    </row>
    <row r="18" spans="1:16" s="19" customFormat="1" ht="13.75" customHeight="1" thickBot="1">
      <c r="A18" s="599" t="s">
        <v>228</v>
      </c>
      <c r="B18" s="600"/>
      <c r="C18" s="601"/>
      <c r="D18" s="609">
        <v>3428</v>
      </c>
      <c r="E18" s="610"/>
      <c r="F18" s="86">
        <v>6.9000000000000006E-2</v>
      </c>
      <c r="G18" s="30">
        <f>+D18*F18</f>
        <v>236.53200000000001</v>
      </c>
      <c r="H18" s="86">
        <v>8.5500000000000007E-2</v>
      </c>
      <c r="I18" s="602">
        <f>+D18*H18</f>
        <v>293.09399999999999</v>
      </c>
      <c r="J18" s="603">
        <f>+G18*I18</f>
        <v>69326.110008000003</v>
      </c>
      <c r="K18" s="101">
        <f>12%*N4</f>
        <v>411.35999999999996</v>
      </c>
    </row>
    <row r="19" spans="1:16" s="19" customFormat="1" ht="15" thickBot="1">
      <c r="A19" s="604" t="s">
        <v>85</v>
      </c>
      <c r="B19" s="605"/>
      <c r="C19" s="606"/>
      <c r="D19" s="607">
        <v>3428</v>
      </c>
      <c r="E19" s="608"/>
      <c r="F19" s="29">
        <v>4.8799999999999998E-3</v>
      </c>
      <c r="G19" s="30">
        <f>+D19*F19</f>
        <v>16.728639999999999</v>
      </c>
      <c r="H19" s="124">
        <v>1.7319999999999999E-2</v>
      </c>
      <c r="I19" s="125">
        <f>+D19*H19</f>
        <v>59.372959999999992</v>
      </c>
      <c r="J19" s="123">
        <f>+G19*I19</f>
        <v>993.22887357439981</v>
      </c>
      <c r="K19" s="101">
        <f>6%*N4+(K2*1.5%)</f>
        <v>259.47884999999997</v>
      </c>
      <c r="L19" s="100" t="s">
        <v>233</v>
      </c>
      <c r="M19" s="635" t="s">
        <v>404</v>
      </c>
    </row>
    <row r="20" spans="1:16" s="19" customFormat="1" ht="14.4" customHeight="1" thickBot="1">
      <c r="A20" s="604" t="s">
        <v>85</v>
      </c>
      <c r="B20" s="605"/>
      <c r="C20" s="606"/>
      <c r="D20" s="609">
        <v>158.59</v>
      </c>
      <c r="E20" s="610"/>
      <c r="F20" s="29">
        <v>0.48799999999999999</v>
      </c>
      <c r="G20" s="30">
        <f>+D20*F20</f>
        <v>77.391919999999999</v>
      </c>
      <c r="H20" s="124">
        <v>1.7319999999999999E-2</v>
      </c>
      <c r="I20" s="125">
        <f>+D20*H20</f>
        <v>2.7467788</v>
      </c>
      <c r="J20" s="123">
        <f>+G20*I20</f>
        <v>212.57848514729599</v>
      </c>
      <c r="L20" s="100" t="s">
        <v>233</v>
      </c>
      <c r="M20" s="635"/>
    </row>
    <row r="21" spans="1:16" s="19" customFormat="1" ht="11.25" customHeight="1" thickBot="1">
      <c r="A21" s="611"/>
      <c r="B21" s="612"/>
      <c r="C21" s="613"/>
      <c r="D21" s="590"/>
      <c r="E21" s="591"/>
      <c r="F21" s="28"/>
      <c r="G21" s="31"/>
      <c r="H21" s="28"/>
      <c r="I21" s="592"/>
      <c r="J21" s="593"/>
      <c r="M21" s="635"/>
    </row>
    <row r="22" spans="1:16" s="19" customFormat="1" ht="15" customHeight="1" thickBot="1">
      <c r="A22" s="604" t="s">
        <v>87</v>
      </c>
      <c r="B22" s="605"/>
      <c r="C22" s="606"/>
      <c r="D22" s="607">
        <v>3428</v>
      </c>
      <c r="E22" s="608"/>
      <c r="F22" s="88">
        <v>0.02</v>
      </c>
      <c r="G22" s="30">
        <f>+D22*F22</f>
        <v>68.56</v>
      </c>
      <c r="H22" s="126">
        <v>0.02</v>
      </c>
      <c r="I22" s="125">
        <f>+D22*H22</f>
        <v>68.56</v>
      </c>
      <c r="J22" s="127">
        <f>+G22*I22</f>
        <v>4700.4736000000003</v>
      </c>
      <c r="K22" s="95">
        <f>H22*D26</f>
        <v>3.1718000000000002</v>
      </c>
      <c r="L22" s="100" t="s">
        <v>403</v>
      </c>
      <c r="M22" s="635"/>
    </row>
    <row r="23" spans="1:16" s="19" customFormat="1" ht="17" customHeight="1">
      <c r="A23" s="624" t="s">
        <v>402</v>
      </c>
      <c r="B23" s="600"/>
      <c r="C23" s="601"/>
      <c r="D23" s="609">
        <v>3586.59</v>
      </c>
      <c r="E23" s="610"/>
      <c r="F23" s="32"/>
      <c r="G23" s="32"/>
      <c r="H23" s="135">
        <v>4.2000000000000003E-2</v>
      </c>
      <c r="I23" s="602">
        <f>+D23*H23</f>
        <v>150.63678000000002</v>
      </c>
      <c r="J23" s="603">
        <f>+G23*I23</f>
        <v>0</v>
      </c>
      <c r="K23" s="95" t="s">
        <v>405</v>
      </c>
    </row>
    <row r="24" spans="1:16" s="19" customFormat="1" ht="11.25" customHeight="1">
      <c r="A24" s="599" t="s">
        <v>90</v>
      </c>
      <c r="B24" s="600"/>
      <c r="C24" s="601"/>
      <c r="D24" s="620"/>
      <c r="E24" s="621"/>
      <c r="F24" s="27"/>
      <c r="G24" s="27"/>
      <c r="H24" s="27"/>
      <c r="I24" s="620"/>
      <c r="J24" s="621"/>
    </row>
    <row r="25" spans="1:16" s="19" customFormat="1" ht="11.25" customHeight="1">
      <c r="A25" s="599" t="s">
        <v>91</v>
      </c>
      <c r="B25" s="600"/>
      <c r="C25" s="601"/>
      <c r="D25" s="607">
        <v>3428</v>
      </c>
      <c r="E25" s="608"/>
      <c r="F25" s="29">
        <v>4.0099999999999997E-2</v>
      </c>
      <c r="G25" s="30">
        <f>+D25*F25</f>
        <v>137.46279999999999</v>
      </c>
      <c r="H25" s="29">
        <v>6.0100000000000001E-2</v>
      </c>
      <c r="I25" s="602">
        <f>+D25*H25</f>
        <v>206.02279999999999</v>
      </c>
      <c r="J25" s="603">
        <f>+G25*I25</f>
        <v>28320.470951839998</v>
      </c>
    </row>
    <row r="26" spans="1:16" s="19" customFormat="1" ht="11.25" customHeight="1">
      <c r="A26" s="599" t="s">
        <v>92</v>
      </c>
      <c r="B26" s="600"/>
      <c r="C26" s="601"/>
      <c r="D26" s="590">
        <v>158.59</v>
      </c>
      <c r="E26" s="591"/>
      <c r="F26" s="28">
        <v>9.7199999999999995E-2</v>
      </c>
      <c r="G26" s="31">
        <f>+D26*F26</f>
        <v>15.414947999999999</v>
      </c>
      <c r="H26" s="28">
        <v>0.1457</v>
      </c>
      <c r="I26" s="602">
        <f>+D26*H26</f>
        <v>23.106563000000001</v>
      </c>
      <c r="J26" s="603">
        <f>+G26*I26</f>
        <v>356.186467103724</v>
      </c>
    </row>
    <row r="27" spans="1:16" s="19" customFormat="1" ht="11.25" customHeight="1">
      <c r="A27" s="599" t="s">
        <v>93</v>
      </c>
      <c r="B27" s="600"/>
      <c r="C27" s="601"/>
      <c r="D27" s="609">
        <v>3586.59</v>
      </c>
      <c r="E27" s="610"/>
      <c r="F27" s="29">
        <v>1.4E-3</v>
      </c>
      <c r="G27" s="30">
        <f>+D27*F27</f>
        <v>5.0212260000000004</v>
      </c>
      <c r="H27" s="29">
        <v>2.0999999999999999E-3</v>
      </c>
      <c r="I27" s="602">
        <f>+D27*H27</f>
        <v>7.5318389999999997</v>
      </c>
      <c r="J27" s="603">
        <f>+G27*I27</f>
        <v>37.819065814614</v>
      </c>
    </row>
    <row r="28" spans="1:16" s="19" customFormat="1">
      <c r="A28" s="599" t="s">
        <v>94</v>
      </c>
      <c r="B28" s="600"/>
      <c r="C28" s="601"/>
      <c r="D28" s="590">
        <v>3586.59</v>
      </c>
      <c r="E28" s="591"/>
      <c r="F28" s="27"/>
      <c r="G28" s="27"/>
      <c r="H28" s="133">
        <v>3.4500000000000003E-2</v>
      </c>
      <c r="I28" s="602">
        <f>+D28*H28</f>
        <v>123.73735500000002</v>
      </c>
      <c r="J28" s="603">
        <f>+G28*I28</f>
        <v>0</v>
      </c>
      <c r="K28" s="95" t="s">
        <v>401</v>
      </c>
      <c r="M28" s="97" t="s">
        <v>212</v>
      </c>
      <c r="N28" s="96">
        <v>3586.59</v>
      </c>
      <c r="O28" s="95" t="s">
        <v>226</v>
      </c>
      <c r="P28" s="95"/>
    </row>
    <row r="29" spans="1:16" s="19" customFormat="1">
      <c r="A29" s="599" t="s">
        <v>95</v>
      </c>
      <c r="B29" s="600"/>
      <c r="C29" s="601"/>
      <c r="D29" s="614"/>
      <c r="E29" s="615"/>
      <c r="F29" s="32"/>
      <c r="G29" s="32"/>
      <c r="H29" s="32"/>
      <c r="I29" s="614"/>
      <c r="J29" s="615"/>
      <c r="M29"/>
      <c r="N29"/>
      <c r="O29" s="94" t="s">
        <v>227</v>
      </c>
      <c r="P29"/>
    </row>
    <row r="30" spans="1:16" s="19" customFormat="1">
      <c r="A30" s="599" t="s">
        <v>96</v>
      </c>
      <c r="B30" s="600"/>
      <c r="C30" s="601"/>
      <c r="D30" s="590">
        <v>3428</v>
      </c>
      <c r="E30" s="591"/>
      <c r="F30" s="27"/>
      <c r="G30" s="27"/>
      <c r="H30" s="181">
        <v>4.0500000000000001E-2</v>
      </c>
      <c r="I30" s="602">
        <f>+D30*H30</f>
        <v>138.834</v>
      </c>
      <c r="J30" s="603"/>
    </row>
    <row r="31" spans="1:16" s="19" customFormat="1">
      <c r="A31" s="599" t="s">
        <v>96</v>
      </c>
      <c r="B31" s="600"/>
      <c r="C31" s="601"/>
      <c r="D31" s="590">
        <v>158.59</v>
      </c>
      <c r="E31" s="591"/>
      <c r="F31" s="27"/>
      <c r="G31" s="27"/>
      <c r="H31" s="181">
        <v>4.0500000000000001E-2</v>
      </c>
      <c r="I31" s="602">
        <f>+D31*H31</f>
        <v>6.4228950000000005</v>
      </c>
      <c r="J31" s="603"/>
    </row>
    <row r="32" spans="1:16" s="19" customFormat="1">
      <c r="A32" s="599" t="s">
        <v>97</v>
      </c>
      <c r="B32" s="600"/>
      <c r="C32" s="601"/>
      <c r="D32" s="609">
        <v>3586.59</v>
      </c>
      <c r="E32" s="610"/>
      <c r="F32" s="32"/>
      <c r="G32" s="32"/>
      <c r="H32" s="86">
        <v>1.5E-3</v>
      </c>
      <c r="I32" s="602">
        <f>+D32*H32</f>
        <v>5.3798850000000007</v>
      </c>
      <c r="J32" s="603"/>
      <c r="M32" s="70"/>
    </row>
    <row r="33" spans="1:15" s="19" customFormat="1" ht="11.25" customHeight="1">
      <c r="A33" s="611" t="s">
        <v>98</v>
      </c>
      <c r="B33" s="612"/>
      <c r="C33" s="613"/>
      <c r="D33" s="620"/>
      <c r="E33" s="621"/>
      <c r="F33" s="27"/>
      <c r="G33" s="27"/>
      <c r="H33" s="27"/>
      <c r="I33" s="620"/>
      <c r="J33" s="621"/>
    </row>
    <row r="34" spans="1:15" s="19" customFormat="1">
      <c r="A34" s="599" t="s">
        <v>99</v>
      </c>
      <c r="B34" s="600"/>
      <c r="C34" s="601"/>
      <c r="D34" s="607">
        <v>3428</v>
      </c>
      <c r="E34" s="608"/>
      <c r="F34" s="32"/>
      <c r="G34" s="32"/>
      <c r="H34" s="29">
        <v>1E-3</v>
      </c>
      <c r="I34" s="618">
        <f>+D34*H34</f>
        <v>3.4279999999999999</v>
      </c>
      <c r="J34" s="619"/>
      <c r="K34" s="19" t="s">
        <v>406</v>
      </c>
    </row>
    <row r="35" spans="1:15" s="19" customFormat="1" ht="15" thickBot="1">
      <c r="A35" s="599" t="s">
        <v>100</v>
      </c>
      <c r="B35" s="600"/>
      <c r="C35" s="601"/>
      <c r="D35" s="590">
        <v>3586.59</v>
      </c>
      <c r="E35" s="591"/>
      <c r="F35" s="27"/>
      <c r="G35" s="27"/>
      <c r="H35" s="28">
        <v>3.0000000000000001E-3</v>
      </c>
      <c r="I35" s="618">
        <f>+D35*H35</f>
        <v>10.759770000000001</v>
      </c>
      <c r="J35" s="619"/>
    </row>
    <row r="36" spans="1:15" s="19" customFormat="1" ht="11.25" customHeight="1" thickBot="1">
      <c r="A36" s="599" t="s">
        <v>101</v>
      </c>
      <c r="B36" s="600"/>
      <c r="C36" s="601"/>
      <c r="D36" s="609">
        <v>3586.59</v>
      </c>
      <c r="E36" s="610"/>
      <c r="F36" s="32"/>
      <c r="G36" s="32"/>
      <c r="H36" s="137">
        <v>1.6000000000000001E-4</v>
      </c>
      <c r="I36" s="618">
        <f>+D36*H36</f>
        <v>0.5738544000000001</v>
      </c>
      <c r="J36" s="619"/>
      <c r="K36" s="583" t="s">
        <v>146</v>
      </c>
      <c r="L36" s="584"/>
      <c r="M36" s="99">
        <v>1.6E-2</v>
      </c>
      <c r="N36" s="99">
        <v>1.6E-2</v>
      </c>
      <c r="O36" s="136" t="s">
        <v>140</v>
      </c>
    </row>
    <row r="37" spans="1:15" s="19" customFormat="1" ht="15.5" customHeight="1">
      <c r="A37" s="91" t="s">
        <v>234</v>
      </c>
      <c r="B37" s="92"/>
      <c r="C37" s="93"/>
      <c r="D37" s="637">
        <f>+I19+I20+I22</f>
        <v>130.6797388</v>
      </c>
      <c r="E37" s="638"/>
      <c r="F37" s="32"/>
      <c r="G37" s="32"/>
      <c r="H37" s="137">
        <v>0.08</v>
      </c>
      <c r="I37" s="618">
        <f>+D37*H37</f>
        <v>10.454379103999999</v>
      </c>
      <c r="J37" s="619"/>
      <c r="K37" s="95" t="s">
        <v>407</v>
      </c>
    </row>
    <row r="38" spans="1:15" s="19" customFormat="1" ht="11.25" customHeight="1">
      <c r="A38" s="611" t="s">
        <v>102</v>
      </c>
      <c r="B38" s="612"/>
      <c r="C38" s="613"/>
      <c r="D38" s="590"/>
      <c r="E38" s="591"/>
      <c r="F38" s="27"/>
      <c r="G38" s="27"/>
      <c r="H38" s="28"/>
      <c r="I38" s="616"/>
      <c r="J38" s="617"/>
    </row>
    <row r="39" spans="1:15" s="19" customFormat="1" ht="11.25" customHeight="1">
      <c r="A39" s="625" t="s">
        <v>103</v>
      </c>
      <c r="B39" s="626"/>
      <c r="C39" s="627"/>
      <c r="D39" s="609"/>
      <c r="E39" s="610"/>
      <c r="F39" s="32"/>
      <c r="G39" s="32"/>
      <c r="H39" s="29"/>
      <c r="I39" s="639"/>
      <c r="J39" s="640"/>
    </row>
    <row r="40" spans="1:15" s="19" customFormat="1" ht="22" customHeight="1">
      <c r="A40" s="599" t="s">
        <v>104</v>
      </c>
      <c r="B40" s="600"/>
      <c r="C40" s="601"/>
      <c r="D40" s="641">
        <f>+(K2*98.25%)+I19+I20+I22</f>
        <v>3654.5044138000003</v>
      </c>
      <c r="E40" s="642"/>
      <c r="F40" s="28">
        <v>2.4E-2</v>
      </c>
      <c r="G40" s="31">
        <f>+D40*F40</f>
        <v>87.708105931200009</v>
      </c>
      <c r="H40" s="27"/>
      <c r="I40" s="620"/>
      <c r="J40" s="621"/>
      <c r="K40" s="636" t="s">
        <v>224</v>
      </c>
      <c r="L40" s="95" t="s">
        <v>549</v>
      </c>
    </row>
    <row r="41" spans="1:15" s="19" customFormat="1">
      <c r="A41" s="599" t="s">
        <v>105</v>
      </c>
      <c r="B41" s="600"/>
      <c r="C41" s="601"/>
      <c r="D41" s="609">
        <v>3654.5044137999998</v>
      </c>
      <c r="E41" s="610"/>
      <c r="F41" s="29">
        <v>5.0000000000000001E-3</v>
      </c>
      <c r="G41" s="30">
        <f>+D41*F41</f>
        <v>18.272522069000001</v>
      </c>
      <c r="H41" s="32"/>
      <c r="I41" s="614"/>
      <c r="J41" s="615"/>
      <c r="K41" s="636"/>
      <c r="L41" s="95" t="s">
        <v>550</v>
      </c>
    </row>
    <row r="42" spans="1:15" s="19" customFormat="1">
      <c r="A42" s="599" t="s">
        <v>106</v>
      </c>
      <c r="B42" s="600"/>
      <c r="C42" s="601"/>
      <c r="D42" s="590">
        <v>3654.5044138000003</v>
      </c>
      <c r="E42" s="591"/>
      <c r="F42" s="28">
        <v>6.8000000000000005E-2</v>
      </c>
      <c r="G42" s="31">
        <f>+D42*F42</f>
        <v>248.50630013840004</v>
      </c>
      <c r="H42" s="27"/>
      <c r="I42" s="620"/>
      <c r="J42" s="621"/>
      <c r="K42" s="636"/>
    </row>
    <row r="43" spans="1:15" s="19" customFormat="1" ht="11.25" customHeight="1">
      <c r="A43" s="625" t="s">
        <v>107</v>
      </c>
      <c r="B43" s="626"/>
      <c r="C43" s="627"/>
      <c r="D43" s="614"/>
      <c r="E43" s="615"/>
      <c r="F43" s="32"/>
      <c r="G43" s="32"/>
      <c r="H43" s="32"/>
      <c r="I43" s="628"/>
      <c r="J43" s="629"/>
    </row>
    <row r="44" spans="1:15" s="19" customFormat="1" ht="11.25" customHeight="1">
      <c r="A44" s="611" t="s">
        <v>108</v>
      </c>
      <c r="B44" s="612"/>
      <c r="C44" s="613"/>
      <c r="D44" s="620"/>
      <c r="E44" s="621"/>
      <c r="F44" s="27"/>
      <c r="G44" s="27"/>
      <c r="H44" s="27"/>
      <c r="I44" s="616"/>
      <c r="J44" s="617"/>
    </row>
    <row r="45" spans="1:15" s="19" customFormat="1" ht="11.25" customHeight="1">
      <c r="A45" s="630" t="s">
        <v>109</v>
      </c>
      <c r="B45" s="631"/>
      <c r="C45" s="632"/>
      <c r="D45" s="633"/>
      <c r="E45" s="634"/>
      <c r="F45" s="33"/>
      <c r="G45" s="34">
        <v>25.97</v>
      </c>
      <c r="H45" s="33"/>
      <c r="I45" s="633"/>
      <c r="J45" s="634"/>
    </row>
    <row r="46" spans="1:15" s="19" customFormat="1" ht="12" customHeight="1">
      <c r="A46" s="585" t="s">
        <v>110</v>
      </c>
      <c r="B46" s="586"/>
      <c r="C46" s="586"/>
      <c r="D46" s="586"/>
      <c r="E46" s="586"/>
      <c r="F46" s="587"/>
      <c r="G46" s="35">
        <v>427.51</v>
      </c>
      <c r="H46" s="36"/>
      <c r="I46" s="622">
        <v>359.17</v>
      </c>
      <c r="J46" s="623"/>
    </row>
  </sheetData>
  <mergeCells count="97">
    <mergeCell ref="M19:M22"/>
    <mergeCell ref="K40:K42"/>
    <mergeCell ref="A31:C31"/>
    <mergeCell ref="D31:E31"/>
    <mergeCell ref="I31:J31"/>
    <mergeCell ref="I37:J37"/>
    <mergeCell ref="D37:E37"/>
    <mergeCell ref="D42:E42"/>
    <mergeCell ref="I42:J42"/>
    <mergeCell ref="A39:C39"/>
    <mergeCell ref="D39:E39"/>
    <mergeCell ref="I39:J39"/>
    <mergeCell ref="A40:C40"/>
    <mergeCell ref="D40:E40"/>
    <mergeCell ref="I40:J40"/>
    <mergeCell ref="A36:C36"/>
    <mergeCell ref="D36:E36"/>
    <mergeCell ref="I27:J27"/>
    <mergeCell ref="A17:C17"/>
    <mergeCell ref="D17:E17"/>
    <mergeCell ref="I17:J17"/>
    <mergeCell ref="A18:C18"/>
    <mergeCell ref="D18:E18"/>
    <mergeCell ref="I18:J18"/>
    <mergeCell ref="A20:C20"/>
    <mergeCell ref="I24:J24"/>
    <mergeCell ref="A25:C25"/>
    <mergeCell ref="D25:E25"/>
    <mergeCell ref="I25:J25"/>
    <mergeCell ref="A26:C26"/>
    <mergeCell ref="D26:E26"/>
    <mergeCell ref="I26:J26"/>
    <mergeCell ref="A42:C42"/>
    <mergeCell ref="D44:E44"/>
    <mergeCell ref="I44:J44"/>
    <mergeCell ref="A45:C45"/>
    <mergeCell ref="D45:E45"/>
    <mergeCell ref="I45:J45"/>
    <mergeCell ref="I33:J33"/>
    <mergeCell ref="A46:F46"/>
    <mergeCell ref="I46:J46"/>
    <mergeCell ref="D23:E23"/>
    <mergeCell ref="A24:C24"/>
    <mergeCell ref="D24:E24"/>
    <mergeCell ref="A27:C27"/>
    <mergeCell ref="A44:C44"/>
    <mergeCell ref="I23:J23"/>
    <mergeCell ref="A23:C23"/>
    <mergeCell ref="A43:C43"/>
    <mergeCell ref="D43:E43"/>
    <mergeCell ref="I43:J43"/>
    <mergeCell ref="A41:C41"/>
    <mergeCell ref="D41:E41"/>
    <mergeCell ref="I41:J41"/>
    <mergeCell ref="D27:E27"/>
    <mergeCell ref="A38:C38"/>
    <mergeCell ref="D38:E38"/>
    <mergeCell ref="I38:J38"/>
    <mergeCell ref="A34:C34"/>
    <mergeCell ref="D34:E34"/>
    <mergeCell ref="I34:J34"/>
    <mergeCell ref="A35:C35"/>
    <mergeCell ref="D35:E35"/>
    <mergeCell ref="I35:J35"/>
    <mergeCell ref="I36:J36"/>
    <mergeCell ref="A32:C32"/>
    <mergeCell ref="D32:E32"/>
    <mergeCell ref="I32:J32"/>
    <mergeCell ref="A33:C33"/>
    <mergeCell ref="D33:E33"/>
    <mergeCell ref="A29:C29"/>
    <mergeCell ref="D29:E29"/>
    <mergeCell ref="I29:J29"/>
    <mergeCell ref="A30:C30"/>
    <mergeCell ref="D30:E30"/>
    <mergeCell ref="I15:J15"/>
    <mergeCell ref="A22:C22"/>
    <mergeCell ref="D19:E19"/>
    <mergeCell ref="D22:E22"/>
    <mergeCell ref="D20:E20"/>
    <mergeCell ref="A21:C21"/>
    <mergeCell ref="K36:L36"/>
    <mergeCell ref="A14:C14"/>
    <mergeCell ref="D14:E14"/>
    <mergeCell ref="I14:J14"/>
    <mergeCell ref="D21:E21"/>
    <mergeCell ref="I21:J21"/>
    <mergeCell ref="A15:C15"/>
    <mergeCell ref="D15:E15"/>
    <mergeCell ref="A16:C16"/>
    <mergeCell ref="D16:E16"/>
    <mergeCell ref="I16:J16"/>
    <mergeCell ref="A19:C19"/>
    <mergeCell ref="I30:J30"/>
    <mergeCell ref="A28:C28"/>
    <mergeCell ref="D28:E28"/>
    <mergeCell ref="I28:J2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73" zoomScaleNormal="100" workbookViewId="0">
      <selection activeCell="K65" sqref="K65"/>
    </sheetView>
  </sheetViews>
  <sheetFormatPr baseColWidth="10" defaultRowHeight="14.5"/>
  <cols>
    <col min="1" max="1" width="25.81640625" style="15" customWidth="1"/>
    <col min="3" max="3" width="10.6328125" customWidth="1"/>
    <col min="5" max="5" width="6.08984375" customWidth="1"/>
    <col min="6" max="6" width="15.81640625" customWidth="1"/>
    <col min="11" max="11" width="80.26953125" customWidth="1"/>
    <col min="12" max="12" width="12.6328125" bestFit="1" customWidth="1"/>
    <col min="15" max="15" width="17.08984375" customWidth="1"/>
  </cols>
  <sheetData>
    <row r="1" spans="1:16" ht="50">
      <c r="B1" s="78" t="s">
        <v>190</v>
      </c>
      <c r="C1" s="78" t="s">
        <v>0</v>
      </c>
      <c r="D1" s="78" t="s">
        <v>191</v>
      </c>
      <c r="E1" s="78" t="s">
        <v>192</v>
      </c>
      <c r="F1" s="78" t="s">
        <v>193</v>
      </c>
      <c r="G1" s="78" t="s">
        <v>194</v>
      </c>
      <c r="I1" s="76" t="s">
        <v>208</v>
      </c>
      <c r="K1" s="80"/>
    </row>
    <row r="2" spans="1:16" ht="25">
      <c r="B2" s="79" t="s">
        <v>195</v>
      </c>
      <c r="C2" s="79" t="s">
        <v>196</v>
      </c>
      <c r="D2" s="79" t="s">
        <v>197</v>
      </c>
      <c r="E2" s="79" t="s">
        <v>198</v>
      </c>
      <c r="F2" s="79" t="s">
        <v>197</v>
      </c>
      <c r="G2" s="79" t="s">
        <v>199</v>
      </c>
      <c r="H2" t="s">
        <v>219</v>
      </c>
      <c r="J2" s="82" t="s">
        <v>212</v>
      </c>
      <c r="K2" s="83">
        <v>3586.59</v>
      </c>
    </row>
    <row r="3" spans="1:16" ht="25">
      <c r="B3" s="78" t="s">
        <v>200</v>
      </c>
      <c r="C3" s="78" t="s">
        <v>201</v>
      </c>
      <c r="D3" s="78" t="s">
        <v>202</v>
      </c>
      <c r="E3" s="78" t="s">
        <v>203</v>
      </c>
      <c r="F3" s="78" t="s">
        <v>202</v>
      </c>
      <c r="G3" s="78" t="s">
        <v>199</v>
      </c>
      <c r="J3" s="78" t="s">
        <v>209</v>
      </c>
      <c r="K3" s="4" t="s">
        <v>210</v>
      </c>
      <c r="M3">
        <f>13712/3428</f>
        <v>4</v>
      </c>
      <c r="N3" s="81">
        <f>+K2-3428</f>
        <v>158.59000000000015</v>
      </c>
      <c r="O3" s="81"/>
    </row>
    <row r="4" spans="1:16" ht="25">
      <c r="B4" s="79" t="s">
        <v>204</v>
      </c>
      <c r="C4" s="79" t="s">
        <v>205</v>
      </c>
      <c r="D4" s="79" t="s">
        <v>206</v>
      </c>
      <c r="E4" s="79" t="s">
        <v>207</v>
      </c>
      <c r="F4" s="79" t="s">
        <v>206</v>
      </c>
      <c r="G4" s="79" t="s">
        <v>199</v>
      </c>
      <c r="J4" s="78"/>
      <c r="K4" s="4" t="s">
        <v>211</v>
      </c>
      <c r="M4" t="s">
        <v>220</v>
      </c>
      <c r="N4">
        <f>27424/8</f>
        <v>3428</v>
      </c>
    </row>
    <row r="5" spans="1:16">
      <c r="J5" s="87" t="s">
        <v>213</v>
      </c>
      <c r="K5" s="80" t="s">
        <v>217</v>
      </c>
    </row>
    <row r="6" spans="1:16">
      <c r="D6" s="94" t="s">
        <v>224</v>
      </c>
      <c r="J6" s="87" t="s">
        <v>213</v>
      </c>
      <c r="K6" s="84" t="s">
        <v>218</v>
      </c>
      <c r="L6" s="19"/>
    </row>
    <row r="7" spans="1:16">
      <c r="J7" s="89" t="s">
        <v>214</v>
      </c>
      <c r="K7" s="85" t="s">
        <v>215</v>
      </c>
    </row>
    <row r="8" spans="1:16" ht="14.4" customHeight="1">
      <c r="B8" s="97" t="s">
        <v>212</v>
      </c>
      <c r="C8" s="96">
        <v>3586.59</v>
      </c>
      <c r="D8" s="95" t="s">
        <v>222</v>
      </c>
      <c r="E8" s="95"/>
      <c r="F8" s="95"/>
      <c r="J8" s="89" t="s">
        <v>214</v>
      </c>
      <c r="K8" s="85" t="s">
        <v>216</v>
      </c>
      <c r="L8" s="19"/>
      <c r="M8" s="19"/>
      <c r="N8" s="19"/>
      <c r="O8" s="19"/>
      <c r="P8" s="19"/>
    </row>
    <row r="9" spans="1:16" ht="14.4" customHeight="1">
      <c r="D9" s="94" t="s">
        <v>223</v>
      </c>
      <c r="J9" s="89"/>
      <c r="K9" s="85"/>
      <c r="L9" s="19"/>
      <c r="M9" s="19"/>
      <c r="N9" s="19"/>
      <c r="O9" s="19"/>
      <c r="P9" s="19"/>
    </row>
    <row r="10" spans="1:16" ht="14.4" customHeight="1">
      <c r="J10" s="89"/>
      <c r="K10" s="85"/>
      <c r="L10" s="19"/>
      <c r="M10" s="19"/>
      <c r="N10" s="19"/>
      <c r="O10" s="19"/>
      <c r="P10" s="19"/>
    </row>
    <row r="11" spans="1:16" s="19" customFormat="1" ht="12" customHeight="1">
      <c r="A11" s="15"/>
      <c r="B11"/>
      <c r="C11"/>
      <c r="D11" s="128" t="s">
        <v>221</v>
      </c>
      <c r="E11" s="87"/>
      <c r="F11" s="87" t="s">
        <v>229</v>
      </c>
      <c r="G11" t="s">
        <v>230</v>
      </c>
      <c r="H11"/>
      <c r="I11"/>
      <c r="J11" s="19" t="s">
        <v>225</v>
      </c>
      <c r="K11" s="90">
        <v>4.2000000000000003E-2</v>
      </c>
    </row>
    <row r="12" spans="1:16">
      <c r="F12" t="s">
        <v>232</v>
      </c>
      <c r="G12" t="s">
        <v>231</v>
      </c>
    </row>
    <row r="13" spans="1:16">
      <c r="C13" s="96"/>
      <c r="D13" s="95"/>
      <c r="E13" s="95"/>
      <c r="F13" s="95"/>
    </row>
    <row r="14" spans="1:16" s="19" customFormat="1" ht="12" customHeight="1">
      <c r="A14" s="585" t="s">
        <v>70</v>
      </c>
      <c r="B14" s="586"/>
      <c r="C14" s="587"/>
      <c r="D14" s="585" t="s">
        <v>71</v>
      </c>
      <c r="E14" s="587"/>
      <c r="F14" s="18" t="s">
        <v>79</v>
      </c>
      <c r="G14" s="18" t="s">
        <v>80</v>
      </c>
      <c r="H14" s="18" t="s">
        <v>81</v>
      </c>
      <c r="I14" s="588" t="s">
        <v>82</v>
      </c>
      <c r="J14" s="589"/>
    </row>
    <row r="15" spans="1:16" s="19" customFormat="1" ht="11.25" customHeight="1">
      <c r="A15" s="594" t="s">
        <v>83</v>
      </c>
      <c r="B15" s="595"/>
      <c r="C15" s="596"/>
      <c r="D15" s="597"/>
      <c r="E15" s="598"/>
      <c r="F15" s="26"/>
      <c r="G15" s="26"/>
      <c r="H15" s="26"/>
      <c r="I15" s="597"/>
      <c r="J15" s="598"/>
    </row>
    <row r="16" spans="1:16" s="19" customFormat="1" ht="11.25" customHeight="1">
      <c r="A16" s="599" t="s">
        <v>84</v>
      </c>
      <c r="B16" s="600"/>
      <c r="C16" s="601"/>
      <c r="D16" s="590">
        <v>3586.59</v>
      </c>
      <c r="E16" s="591"/>
      <c r="F16" s="27"/>
      <c r="G16" s="27"/>
      <c r="H16" s="134">
        <v>7.0000000000000007E-2</v>
      </c>
      <c r="I16" s="602">
        <f>+D16*H16</f>
        <v>251.06130000000005</v>
      </c>
      <c r="J16" s="603"/>
    </row>
    <row r="17" spans="1:16" s="19" customFormat="1" ht="11.25" customHeight="1">
      <c r="A17" s="599" t="s">
        <v>144</v>
      </c>
      <c r="B17" s="600"/>
      <c r="C17" s="601"/>
      <c r="D17" s="609">
        <v>3586.59</v>
      </c>
      <c r="E17" s="610"/>
      <c r="F17" s="29">
        <v>4.0000000000000001E-3</v>
      </c>
      <c r="G17" s="30">
        <f>+D17*F17</f>
        <v>14.346360000000001</v>
      </c>
      <c r="H17" s="29">
        <v>1.9E-2</v>
      </c>
      <c r="I17" s="602">
        <f>+D17*H17</f>
        <v>68.145210000000006</v>
      </c>
      <c r="J17" s="603">
        <f>+G17*I17</f>
        <v>977.63571493560016</v>
      </c>
    </row>
    <row r="18" spans="1:16" s="19" customFormat="1" ht="13.75" customHeight="1" thickBot="1">
      <c r="A18" s="599" t="s">
        <v>228</v>
      </c>
      <c r="B18" s="600"/>
      <c r="C18" s="601"/>
      <c r="D18" s="609">
        <v>3428</v>
      </c>
      <c r="E18" s="610"/>
      <c r="F18" s="29">
        <v>6.9000000000000006E-2</v>
      </c>
      <c r="G18" s="30">
        <f>+D18*F18</f>
        <v>236.53200000000001</v>
      </c>
      <c r="H18" s="29">
        <v>8.5500000000000007E-2</v>
      </c>
      <c r="I18" s="602">
        <f>+D18*H18</f>
        <v>293.09399999999999</v>
      </c>
      <c r="J18" s="603">
        <f>+G18*I18</f>
        <v>69326.110008000003</v>
      </c>
      <c r="K18" s="101">
        <f>12%*N4</f>
        <v>411.35999999999996</v>
      </c>
    </row>
    <row r="19" spans="1:16" s="19" customFormat="1" ht="15" thickBot="1">
      <c r="A19" s="604" t="s">
        <v>85</v>
      </c>
      <c r="B19" s="605"/>
      <c r="C19" s="606"/>
      <c r="D19" s="607">
        <v>3428</v>
      </c>
      <c r="E19" s="608"/>
      <c r="F19" s="29">
        <v>4.8799999999999998E-3</v>
      </c>
      <c r="G19" s="30">
        <f>+D19*F19</f>
        <v>16.728639999999999</v>
      </c>
      <c r="H19" s="124">
        <v>1.7319999999999999E-2</v>
      </c>
      <c r="I19" s="125">
        <f>+D19*H19</f>
        <v>59.372959999999992</v>
      </c>
      <c r="J19" s="123">
        <f>+G19*I19</f>
        <v>993.22887357439981</v>
      </c>
      <c r="K19" s="101">
        <f>6%*N4+(K2*1.5%)</f>
        <v>259.47884999999997</v>
      </c>
      <c r="L19" s="100" t="s">
        <v>233</v>
      </c>
      <c r="M19" s="635" t="s">
        <v>404</v>
      </c>
    </row>
    <row r="20" spans="1:16" s="19" customFormat="1" ht="14.4" customHeight="1" thickBot="1">
      <c r="A20" s="604" t="s">
        <v>85</v>
      </c>
      <c r="B20" s="605"/>
      <c r="C20" s="606"/>
      <c r="D20" s="609">
        <v>158.59</v>
      </c>
      <c r="E20" s="610"/>
      <c r="F20" s="29">
        <v>0.48799999999999999</v>
      </c>
      <c r="G20" s="30">
        <f>+D20*F20</f>
        <v>77.391919999999999</v>
      </c>
      <c r="H20" s="124">
        <v>1.7319999999999999E-2</v>
      </c>
      <c r="I20" s="125">
        <f>+D20*H20</f>
        <v>2.7467788</v>
      </c>
      <c r="J20" s="123">
        <f>+G20*I20</f>
        <v>212.57848514729599</v>
      </c>
      <c r="L20" s="100" t="s">
        <v>233</v>
      </c>
      <c r="M20" s="635"/>
    </row>
    <row r="21" spans="1:16" s="19" customFormat="1" ht="11.25" customHeight="1" thickBot="1">
      <c r="A21" s="611"/>
      <c r="B21" s="612"/>
      <c r="C21" s="613"/>
      <c r="D21" s="590"/>
      <c r="E21" s="591"/>
      <c r="F21" s="28"/>
      <c r="G21" s="31"/>
      <c r="H21" s="28"/>
      <c r="I21" s="592"/>
      <c r="J21" s="593"/>
      <c r="M21" s="635"/>
    </row>
    <row r="22" spans="1:16" s="19" customFormat="1" ht="15" thickBot="1">
      <c r="A22" s="604" t="s">
        <v>87</v>
      </c>
      <c r="B22" s="605"/>
      <c r="C22" s="606"/>
      <c r="D22" s="607">
        <v>3428</v>
      </c>
      <c r="E22" s="608"/>
      <c r="F22" s="88">
        <v>0.02</v>
      </c>
      <c r="G22" s="30">
        <f>+D22*F22</f>
        <v>68.56</v>
      </c>
      <c r="H22" s="126">
        <v>0.02</v>
      </c>
      <c r="I22" s="125">
        <f>+D22*H22</f>
        <v>68.56</v>
      </c>
      <c r="J22" s="127">
        <f>+G22*I22</f>
        <v>4700.4736000000003</v>
      </c>
      <c r="K22" s="95">
        <f>H22*D26</f>
        <v>3.1718000000000002</v>
      </c>
      <c r="L22" s="129" t="s">
        <v>403</v>
      </c>
      <c r="M22" s="635"/>
    </row>
    <row r="23" spans="1:16" s="19" customFormat="1" ht="17" customHeight="1">
      <c r="A23" s="624" t="s">
        <v>402</v>
      </c>
      <c r="B23" s="600"/>
      <c r="C23" s="601"/>
      <c r="D23" s="609">
        <v>3586.59</v>
      </c>
      <c r="E23" s="610"/>
      <c r="F23" s="32"/>
      <c r="G23" s="32"/>
      <c r="H23" s="135">
        <v>4.2000000000000003E-2</v>
      </c>
      <c r="I23" s="602">
        <f>+D23*H23</f>
        <v>150.63678000000002</v>
      </c>
      <c r="J23" s="603">
        <f>+G23*I23</f>
        <v>0</v>
      </c>
      <c r="K23" s="95" t="s">
        <v>405</v>
      </c>
    </row>
    <row r="24" spans="1:16" s="19" customFormat="1" ht="11.25" customHeight="1">
      <c r="A24" s="599" t="s">
        <v>90</v>
      </c>
      <c r="B24" s="600"/>
      <c r="C24" s="601"/>
      <c r="D24" s="620"/>
      <c r="E24" s="621"/>
      <c r="F24" s="27"/>
      <c r="G24" s="27"/>
      <c r="H24" s="27"/>
      <c r="I24" s="620"/>
      <c r="J24" s="621"/>
    </row>
    <row r="25" spans="1:16" s="19" customFormat="1" ht="11.25" customHeight="1">
      <c r="A25" s="599" t="s">
        <v>91</v>
      </c>
      <c r="B25" s="600"/>
      <c r="C25" s="601"/>
      <c r="D25" s="607">
        <v>3428</v>
      </c>
      <c r="E25" s="608"/>
      <c r="F25" s="29">
        <v>4.0099999999999997E-2</v>
      </c>
      <c r="G25" s="30">
        <f>+D25*F25</f>
        <v>137.46279999999999</v>
      </c>
      <c r="H25" s="29">
        <v>6.0100000000000001E-2</v>
      </c>
      <c r="I25" s="602">
        <f>+D25*H25</f>
        <v>206.02279999999999</v>
      </c>
      <c r="J25" s="603">
        <f>+G25*I25</f>
        <v>28320.470951839998</v>
      </c>
    </row>
    <row r="26" spans="1:16" s="19" customFormat="1" ht="11.25" customHeight="1">
      <c r="A26" s="599" t="s">
        <v>92</v>
      </c>
      <c r="B26" s="600"/>
      <c r="C26" s="601"/>
      <c r="D26" s="590">
        <v>158.59</v>
      </c>
      <c r="E26" s="591"/>
      <c r="F26" s="28">
        <v>9.7199999999999995E-2</v>
      </c>
      <c r="G26" s="31">
        <f>+D26*F26</f>
        <v>15.414947999999999</v>
      </c>
      <c r="H26" s="28">
        <v>0.1457</v>
      </c>
      <c r="I26" s="602">
        <f>+D26*H26</f>
        <v>23.106563000000001</v>
      </c>
      <c r="J26" s="603">
        <f>+G26*I26</f>
        <v>356.186467103724</v>
      </c>
    </row>
    <row r="27" spans="1:16" s="19" customFormat="1" ht="11.25" customHeight="1">
      <c r="A27" s="599" t="s">
        <v>93</v>
      </c>
      <c r="B27" s="600"/>
      <c r="C27" s="601"/>
      <c r="D27" s="609">
        <v>3586.59</v>
      </c>
      <c r="E27" s="610"/>
      <c r="F27" s="29">
        <v>1.4E-3</v>
      </c>
      <c r="G27" s="30">
        <f>+D27*F27</f>
        <v>5.0212260000000004</v>
      </c>
      <c r="H27" s="29">
        <v>2.0999999999999999E-3</v>
      </c>
      <c r="I27" s="602">
        <f>+D27*H27</f>
        <v>7.5318389999999997</v>
      </c>
      <c r="J27" s="603">
        <f>+G27*I27</f>
        <v>37.819065814614</v>
      </c>
    </row>
    <row r="28" spans="1:16" s="19" customFormat="1">
      <c r="A28" s="599" t="s">
        <v>94</v>
      </c>
      <c r="B28" s="600"/>
      <c r="C28" s="601"/>
      <c r="D28" s="590">
        <v>3586.59</v>
      </c>
      <c r="E28" s="591"/>
      <c r="F28" s="27"/>
      <c r="G28" s="27"/>
      <c r="H28" s="133">
        <v>3.4500000000000003E-2</v>
      </c>
      <c r="I28" s="602">
        <f>+D28*H28</f>
        <v>123.73735500000002</v>
      </c>
      <c r="J28" s="603">
        <f>+G28*I28</f>
        <v>0</v>
      </c>
      <c r="K28" s="95" t="s">
        <v>401</v>
      </c>
      <c r="M28" s="97" t="s">
        <v>212</v>
      </c>
      <c r="N28" s="96">
        <v>3586.59</v>
      </c>
      <c r="O28" s="95" t="s">
        <v>226</v>
      </c>
      <c r="P28" s="95"/>
    </row>
    <row r="29" spans="1:16" s="19" customFormat="1">
      <c r="A29" s="599" t="s">
        <v>95</v>
      </c>
      <c r="B29" s="600"/>
      <c r="C29" s="601"/>
      <c r="D29" s="614"/>
      <c r="E29" s="615"/>
      <c r="F29" s="32"/>
      <c r="G29" s="32"/>
      <c r="H29" s="32"/>
      <c r="I29" s="614"/>
      <c r="J29" s="615"/>
      <c r="M29"/>
      <c r="N29"/>
      <c r="O29" s="94" t="s">
        <v>227</v>
      </c>
      <c r="P29"/>
    </row>
    <row r="30" spans="1:16" s="19" customFormat="1">
      <c r="A30" s="599" t="s">
        <v>96</v>
      </c>
      <c r="B30" s="600"/>
      <c r="C30" s="601"/>
      <c r="D30" s="590">
        <v>3428</v>
      </c>
      <c r="E30" s="591"/>
      <c r="F30" s="27"/>
      <c r="G30" s="27"/>
      <c r="H30" s="28">
        <v>4.0500000000000001E-2</v>
      </c>
      <c r="I30" s="602">
        <f>+D30*H30</f>
        <v>138.834</v>
      </c>
      <c r="J30" s="603"/>
    </row>
    <row r="31" spans="1:16" s="19" customFormat="1">
      <c r="A31" s="599" t="s">
        <v>96</v>
      </c>
      <c r="B31" s="600"/>
      <c r="C31" s="601"/>
      <c r="D31" s="590">
        <v>158.59</v>
      </c>
      <c r="E31" s="591"/>
      <c r="F31" s="27"/>
      <c r="G31" s="27"/>
      <c r="H31" s="28">
        <v>4.0500000000000001E-2</v>
      </c>
      <c r="I31" s="602">
        <f>+D31*H31</f>
        <v>6.4228950000000005</v>
      </c>
      <c r="J31" s="603"/>
    </row>
    <row r="32" spans="1:16" s="19" customFormat="1">
      <c r="A32" s="599" t="s">
        <v>97</v>
      </c>
      <c r="B32" s="600"/>
      <c r="C32" s="601"/>
      <c r="D32" s="609">
        <v>3586.59</v>
      </c>
      <c r="E32" s="610"/>
      <c r="F32" s="32"/>
      <c r="G32" s="32"/>
      <c r="H32" s="86">
        <v>1.5E-3</v>
      </c>
      <c r="I32" s="602">
        <f>+D32*H32</f>
        <v>5.3798850000000007</v>
      </c>
      <c r="J32" s="603"/>
      <c r="M32" s="70"/>
    </row>
    <row r="33" spans="1:15" s="19" customFormat="1" ht="11.25" customHeight="1">
      <c r="A33" s="611" t="s">
        <v>98</v>
      </c>
      <c r="B33" s="612"/>
      <c r="C33" s="613"/>
      <c r="D33" s="620"/>
      <c r="E33" s="621"/>
      <c r="F33" s="27"/>
      <c r="G33" s="27"/>
      <c r="H33" s="27"/>
      <c r="I33" s="620"/>
      <c r="J33" s="621"/>
    </row>
    <row r="34" spans="1:15" s="19" customFormat="1">
      <c r="A34" s="599" t="s">
        <v>99</v>
      </c>
      <c r="B34" s="600"/>
      <c r="C34" s="601"/>
      <c r="D34" s="607">
        <v>3428</v>
      </c>
      <c r="E34" s="608"/>
      <c r="F34" s="32"/>
      <c r="G34" s="32"/>
      <c r="H34" s="29">
        <v>1E-3</v>
      </c>
      <c r="I34" s="618">
        <f>+D34*H34</f>
        <v>3.4279999999999999</v>
      </c>
      <c r="J34" s="619"/>
      <c r="K34" s="19" t="s">
        <v>406</v>
      </c>
    </row>
    <row r="35" spans="1:15" s="19" customFormat="1" ht="15" thickBot="1">
      <c r="A35" s="599" t="s">
        <v>100</v>
      </c>
      <c r="B35" s="600"/>
      <c r="C35" s="601"/>
      <c r="D35" s="590">
        <v>3586.59</v>
      </c>
      <c r="E35" s="591"/>
      <c r="F35" s="27"/>
      <c r="G35" s="27"/>
      <c r="H35" s="28">
        <v>3.0000000000000001E-3</v>
      </c>
      <c r="I35" s="618">
        <f>+D35*H35</f>
        <v>10.759770000000001</v>
      </c>
      <c r="J35" s="619"/>
    </row>
    <row r="36" spans="1:15" s="19" customFormat="1" ht="11.25" customHeight="1" thickBot="1">
      <c r="A36" s="599" t="s">
        <v>101</v>
      </c>
      <c r="B36" s="600"/>
      <c r="C36" s="601"/>
      <c r="D36" s="609">
        <v>3586.59</v>
      </c>
      <c r="E36" s="610"/>
      <c r="F36" s="32"/>
      <c r="G36" s="32"/>
      <c r="H36" s="137">
        <v>1.6000000000000001E-4</v>
      </c>
      <c r="I36" s="618">
        <f>+D36*H36</f>
        <v>0.5738544000000001</v>
      </c>
      <c r="J36" s="619"/>
      <c r="K36" s="583" t="s">
        <v>146</v>
      </c>
      <c r="L36" s="584"/>
      <c r="M36" s="99">
        <v>1.6E-2</v>
      </c>
      <c r="N36" s="99">
        <v>1.6E-2</v>
      </c>
      <c r="O36" s="136" t="s">
        <v>140</v>
      </c>
    </row>
    <row r="37" spans="1:15" s="19" customFormat="1" ht="15.5" customHeight="1">
      <c r="A37" s="130" t="s">
        <v>234</v>
      </c>
      <c r="B37" s="131"/>
      <c r="C37" s="132"/>
      <c r="D37" s="637">
        <f>+I19+I20+I22</f>
        <v>130.6797388</v>
      </c>
      <c r="E37" s="638"/>
      <c r="F37" s="32"/>
      <c r="G37" s="32"/>
      <c r="H37" s="137">
        <v>0.08</v>
      </c>
      <c r="I37" s="618">
        <f>+D37*H37</f>
        <v>10.454379103999999</v>
      </c>
      <c r="J37" s="619"/>
      <c r="K37" s="95" t="s">
        <v>407</v>
      </c>
    </row>
    <row r="38" spans="1:15" s="19" customFormat="1" ht="11.25" customHeight="1">
      <c r="A38" s="611" t="s">
        <v>102</v>
      </c>
      <c r="B38" s="612"/>
      <c r="C38" s="613"/>
      <c r="D38" s="590"/>
      <c r="E38" s="591"/>
      <c r="F38" s="27"/>
      <c r="G38" s="27"/>
      <c r="H38" s="28"/>
      <c r="I38" s="616"/>
      <c r="J38" s="617"/>
    </row>
    <row r="39" spans="1:15" s="19" customFormat="1" ht="11.25" customHeight="1">
      <c r="A39" s="625" t="s">
        <v>103</v>
      </c>
      <c r="B39" s="626"/>
      <c r="C39" s="627"/>
      <c r="D39" s="609"/>
      <c r="E39" s="610"/>
      <c r="F39" s="32"/>
      <c r="G39" s="32"/>
      <c r="H39" s="29"/>
      <c r="I39" s="639"/>
      <c r="J39" s="640"/>
    </row>
    <row r="40" spans="1:15" s="19" customFormat="1" ht="22" customHeight="1">
      <c r="A40" s="599" t="s">
        <v>104</v>
      </c>
      <c r="B40" s="600"/>
      <c r="C40" s="601"/>
      <c r="D40" s="641">
        <f>+(K2*98.25%)+I19+I20+I22</f>
        <v>3654.5044138000003</v>
      </c>
      <c r="E40" s="642"/>
      <c r="F40" s="28">
        <v>2.4E-2</v>
      </c>
      <c r="G40" s="31">
        <f>+D40*F40</f>
        <v>87.708105931200009</v>
      </c>
      <c r="H40" s="27"/>
      <c r="I40" s="620"/>
      <c r="J40" s="621"/>
      <c r="K40" s="636" t="s">
        <v>224</v>
      </c>
      <c r="L40" s="95" t="s">
        <v>408</v>
      </c>
    </row>
    <row r="41" spans="1:15" s="19" customFormat="1">
      <c r="A41" s="599" t="s">
        <v>105</v>
      </c>
      <c r="B41" s="600"/>
      <c r="C41" s="601"/>
      <c r="D41" s="609">
        <v>3654.5044137999998</v>
      </c>
      <c r="E41" s="610"/>
      <c r="F41" s="29">
        <v>5.0000000000000001E-3</v>
      </c>
      <c r="G41" s="30">
        <f>+D41*F41</f>
        <v>18.272522069000001</v>
      </c>
      <c r="H41" s="32"/>
      <c r="I41" s="614"/>
      <c r="J41" s="615"/>
      <c r="K41" s="636"/>
      <c r="L41" s="101"/>
    </row>
    <row r="42" spans="1:15" s="19" customFormat="1">
      <c r="A42" s="599" t="s">
        <v>106</v>
      </c>
      <c r="B42" s="600"/>
      <c r="C42" s="601"/>
      <c r="D42" s="590">
        <v>3654.5044138000003</v>
      </c>
      <c r="E42" s="591"/>
      <c r="F42" s="28">
        <v>6.8000000000000005E-2</v>
      </c>
      <c r="G42" s="31">
        <f>+D42*F42</f>
        <v>248.50630013840004</v>
      </c>
      <c r="H42" s="27"/>
      <c r="I42" s="620"/>
      <c r="J42" s="621"/>
      <c r="K42" s="636"/>
    </row>
    <row r="43" spans="1:15" s="19" customFormat="1" ht="11.25" customHeight="1">
      <c r="A43" s="625" t="s">
        <v>107</v>
      </c>
      <c r="B43" s="626"/>
      <c r="C43" s="627"/>
      <c r="D43" s="614"/>
      <c r="E43" s="615"/>
      <c r="F43" s="32"/>
      <c r="G43" s="32"/>
      <c r="H43" s="32"/>
      <c r="I43" s="628"/>
      <c r="J43" s="629"/>
    </row>
    <row r="44" spans="1:15" s="19" customFormat="1" ht="11.25" customHeight="1">
      <c r="A44" s="611" t="s">
        <v>108</v>
      </c>
      <c r="B44" s="612"/>
      <c r="C44" s="613"/>
      <c r="D44" s="620"/>
      <c r="E44" s="621"/>
      <c r="F44" s="27"/>
      <c r="G44" s="27"/>
      <c r="H44" s="27"/>
      <c r="I44" s="616"/>
      <c r="J44" s="617"/>
    </row>
    <row r="45" spans="1:15" s="19" customFormat="1" ht="11.25" customHeight="1">
      <c r="A45" s="630" t="s">
        <v>109</v>
      </c>
      <c r="B45" s="631"/>
      <c r="C45" s="632"/>
      <c r="D45" s="633"/>
      <c r="E45" s="634"/>
      <c r="F45" s="33"/>
      <c r="G45" s="34">
        <v>25.97</v>
      </c>
      <c r="H45" s="33"/>
      <c r="I45" s="633"/>
      <c r="J45" s="634"/>
    </row>
    <row r="46" spans="1:15" s="19" customFormat="1" ht="12" customHeight="1">
      <c r="A46" s="585" t="s">
        <v>110</v>
      </c>
      <c r="B46" s="586"/>
      <c r="C46" s="586"/>
      <c r="D46" s="586"/>
      <c r="E46" s="586"/>
      <c r="F46" s="587"/>
      <c r="G46" s="35">
        <v>427.51</v>
      </c>
      <c r="H46" s="36"/>
      <c r="I46" s="622">
        <v>359.17</v>
      </c>
      <c r="J46" s="623"/>
    </row>
    <row r="50" spans="1:11" s="139" customFormat="1" ht="35.5" customHeight="1">
      <c r="A50" s="155" t="s">
        <v>411</v>
      </c>
      <c r="B50" s="138"/>
    </row>
    <row r="51" spans="1:11" s="139" customFormat="1" ht="18" customHeight="1">
      <c r="A51" s="154"/>
      <c r="B51" s="138"/>
    </row>
    <row r="52" spans="1:11" s="139" customFormat="1" ht="29" customHeight="1">
      <c r="A52" s="152" t="s">
        <v>412</v>
      </c>
      <c r="B52" s="138"/>
      <c r="C52" s="141">
        <v>3586.59</v>
      </c>
      <c r="D52" s="138"/>
      <c r="E52" s="138"/>
      <c r="F52" s="138"/>
      <c r="G52" s="138" t="s">
        <v>413</v>
      </c>
      <c r="H52" s="138"/>
      <c r="I52" s="138">
        <v>3428</v>
      </c>
    </row>
    <row r="53" spans="1:11" s="139" customFormat="1" ht="12.5" customHeight="1">
      <c r="A53" s="153"/>
      <c r="B53" s="138"/>
      <c r="C53" s="138"/>
      <c r="D53" s="138"/>
      <c r="E53" s="138"/>
      <c r="F53" s="138"/>
      <c r="G53" s="138"/>
      <c r="H53" s="138"/>
      <c r="I53" s="138"/>
    </row>
    <row r="54" spans="1:11" s="154" customFormat="1" ht="20.5" customHeight="1">
      <c r="A54" s="152" t="s">
        <v>190</v>
      </c>
      <c r="B54" s="152" t="s">
        <v>0</v>
      </c>
      <c r="C54" s="152" t="s">
        <v>414</v>
      </c>
      <c r="D54" s="153"/>
      <c r="E54" s="152" t="s">
        <v>415</v>
      </c>
      <c r="F54" s="153"/>
      <c r="G54" s="152" t="s">
        <v>416</v>
      </c>
      <c r="H54" s="153"/>
      <c r="I54" s="152" t="s">
        <v>417</v>
      </c>
      <c r="K54" s="152" t="s">
        <v>418</v>
      </c>
    </row>
    <row r="55" spans="1:11" s="139" customFormat="1" ht="11.5" customHeight="1">
      <c r="A55" s="154"/>
      <c r="B55" s="138"/>
    </row>
    <row r="56" spans="1:11" s="139" customFormat="1" ht="24" customHeight="1">
      <c r="A56" s="153" t="s">
        <v>419</v>
      </c>
      <c r="B56" s="141">
        <v>3586.59</v>
      </c>
      <c r="C56" s="142"/>
      <c r="E56" s="143"/>
      <c r="G56" s="142">
        <v>7.0000000000000007E-2</v>
      </c>
      <c r="I56" s="144">
        <f t="shared" ref="I56:I68" si="0">B56*G56</f>
        <v>251.06130000000005</v>
      </c>
      <c r="K56" s="145" t="s">
        <v>420</v>
      </c>
    </row>
    <row r="57" spans="1:11" s="139" customFormat="1" ht="15" customHeight="1">
      <c r="A57" s="153" t="s">
        <v>421</v>
      </c>
      <c r="B57" s="141">
        <f>I52</f>
        <v>3428</v>
      </c>
      <c r="C57" s="146">
        <v>6.9000000000000006E-2</v>
      </c>
      <c r="E57" s="144">
        <f t="shared" ref="E57" si="1">B57*C57</f>
        <v>236.53200000000001</v>
      </c>
      <c r="G57" s="146">
        <v>8.5500000000000007E-2</v>
      </c>
      <c r="I57" s="144">
        <f t="shared" si="0"/>
        <v>293.09399999999999</v>
      </c>
      <c r="K57" s="145" t="s">
        <v>422</v>
      </c>
    </row>
    <row r="58" spans="1:11" s="139" customFormat="1" ht="15" customHeight="1">
      <c r="A58" s="153" t="s">
        <v>423</v>
      </c>
      <c r="B58" s="141">
        <v>3586.59</v>
      </c>
      <c r="C58" s="146">
        <v>4.0000000000000001E-3</v>
      </c>
      <c r="E58" s="144">
        <f>B58*C58</f>
        <v>14.346360000000001</v>
      </c>
      <c r="G58" s="146">
        <v>1.9E-2</v>
      </c>
      <c r="I58" s="144">
        <f t="shared" si="0"/>
        <v>68.145210000000006</v>
      </c>
      <c r="K58" s="145" t="s">
        <v>422</v>
      </c>
    </row>
    <row r="59" spans="1:11" s="139" customFormat="1" ht="19.5" customHeight="1">
      <c r="A59" s="153" t="s">
        <v>424</v>
      </c>
      <c r="B59" s="141">
        <f>I52</f>
        <v>3428</v>
      </c>
      <c r="C59" s="142"/>
      <c r="E59" s="144"/>
      <c r="G59" s="146">
        <v>4.0500000000000001E-2</v>
      </c>
      <c r="I59" s="144">
        <f t="shared" si="0"/>
        <v>138.834</v>
      </c>
      <c r="K59" s="145" t="s">
        <v>425</v>
      </c>
    </row>
    <row r="60" spans="1:11" s="139" customFormat="1" ht="19.5" customHeight="1">
      <c r="A60" s="153" t="s">
        <v>426</v>
      </c>
      <c r="B60" s="140">
        <f>C52-I52</f>
        <v>158.59000000000015</v>
      </c>
      <c r="C60" s="142"/>
      <c r="E60" s="144"/>
      <c r="G60" s="146">
        <v>4.0500000000000001E-2</v>
      </c>
      <c r="I60" s="144">
        <f t="shared" si="0"/>
        <v>6.4228950000000058</v>
      </c>
      <c r="K60" s="145" t="s">
        <v>427</v>
      </c>
    </row>
    <row r="61" spans="1:11" s="139" customFormat="1" ht="19.5" customHeight="1">
      <c r="A61" s="153" t="s">
        <v>428</v>
      </c>
      <c r="B61" s="141">
        <f>I52</f>
        <v>3428</v>
      </c>
      <c r="C61" s="147">
        <v>3.15E-2</v>
      </c>
      <c r="E61" s="144">
        <f t="shared" ref="E61:E68" si="2">B61*C61</f>
        <v>107.982</v>
      </c>
      <c r="G61" s="147">
        <v>4.7199999999999999E-2</v>
      </c>
      <c r="I61" s="144">
        <f t="shared" si="0"/>
        <v>161.80160000000001</v>
      </c>
      <c r="K61" s="145" t="s">
        <v>429</v>
      </c>
    </row>
    <row r="62" spans="1:11" s="139" customFormat="1" ht="19.5" customHeight="1">
      <c r="A62" s="153" t="s">
        <v>430</v>
      </c>
      <c r="B62" s="140">
        <f>B60</f>
        <v>158.59000000000015</v>
      </c>
      <c r="C62" s="147">
        <v>8.6400000000000005E-2</v>
      </c>
      <c r="E62" s="144">
        <f t="shared" si="2"/>
        <v>13.702176000000014</v>
      </c>
      <c r="G62" s="147">
        <v>0.1295</v>
      </c>
      <c r="I62" s="144">
        <f t="shared" si="0"/>
        <v>20.537405000000021</v>
      </c>
      <c r="K62" s="145" t="s">
        <v>431</v>
      </c>
    </row>
    <row r="63" spans="1:11" s="139" customFormat="1" ht="19.5" customHeight="1">
      <c r="A63" s="153" t="s">
        <v>432</v>
      </c>
      <c r="B63" s="148">
        <v>3311</v>
      </c>
      <c r="C63" s="147">
        <v>8.6E-3</v>
      </c>
      <c r="E63" s="144">
        <f>B63*C63</f>
        <v>28.474599999999999</v>
      </c>
      <c r="G63" s="147">
        <v>1.29E-2</v>
      </c>
      <c r="I63" s="144">
        <f t="shared" si="0"/>
        <v>42.7119</v>
      </c>
      <c r="K63" s="145" t="s">
        <v>433</v>
      </c>
    </row>
    <row r="64" spans="1:11" s="139" customFormat="1" ht="19.5" customHeight="1">
      <c r="A64" s="153" t="s">
        <v>434</v>
      </c>
      <c r="B64" s="140">
        <f>B60</f>
        <v>158.59000000000015</v>
      </c>
      <c r="C64" s="147">
        <v>1.0800000000000001E-2</v>
      </c>
      <c r="E64" s="144">
        <f t="shared" si="2"/>
        <v>1.7127720000000017</v>
      </c>
      <c r="G64" s="147">
        <v>1.6199999999999999E-2</v>
      </c>
      <c r="I64" s="144">
        <f t="shared" si="0"/>
        <v>2.5691580000000021</v>
      </c>
      <c r="K64" s="145" t="s">
        <v>435</v>
      </c>
    </row>
    <row r="65" spans="1:11" s="139" customFormat="1" ht="19.5" customHeight="1">
      <c r="A65" s="153" t="s">
        <v>436</v>
      </c>
      <c r="B65" s="141">
        <f>C52</f>
        <v>3586.59</v>
      </c>
      <c r="C65" s="149">
        <v>1.4E-3</v>
      </c>
      <c r="E65" s="144">
        <f t="shared" si="2"/>
        <v>5.0212260000000004</v>
      </c>
      <c r="G65" s="149">
        <v>2.0999999999999999E-3</v>
      </c>
      <c r="I65" s="144">
        <f t="shared" si="0"/>
        <v>7.5318389999999997</v>
      </c>
      <c r="K65" s="145" t="s">
        <v>437</v>
      </c>
    </row>
    <row r="66" spans="1:11" s="139" customFormat="1" ht="19.5" customHeight="1">
      <c r="A66" s="153" t="s">
        <v>438</v>
      </c>
      <c r="B66" s="141">
        <f>I52</f>
        <v>3428</v>
      </c>
      <c r="C66" s="149">
        <v>0.02</v>
      </c>
      <c r="E66" s="144">
        <f t="shared" si="2"/>
        <v>68.56</v>
      </c>
      <c r="G66" s="149">
        <v>0.02</v>
      </c>
      <c r="I66" s="144">
        <f t="shared" si="0"/>
        <v>68.56</v>
      </c>
      <c r="K66" s="145" t="s">
        <v>439</v>
      </c>
    </row>
    <row r="67" spans="1:11" s="139" customFormat="1" ht="19.5" customHeight="1">
      <c r="A67" s="153" t="s">
        <v>440</v>
      </c>
      <c r="B67" s="141">
        <f>I52</f>
        <v>3428</v>
      </c>
      <c r="C67" s="149">
        <v>4.8799999999999998E-3</v>
      </c>
      <c r="E67" s="144">
        <f t="shared" si="2"/>
        <v>16.728639999999999</v>
      </c>
      <c r="G67" s="149">
        <v>1.7319999999999999E-2</v>
      </c>
      <c r="I67" s="144">
        <f t="shared" si="0"/>
        <v>59.372959999999992</v>
      </c>
      <c r="K67" s="145" t="s">
        <v>441</v>
      </c>
    </row>
    <row r="68" spans="1:11" s="139" customFormat="1" ht="19.5" customHeight="1">
      <c r="A68" s="153" t="s">
        <v>442</v>
      </c>
      <c r="B68" s="140">
        <f>B60</f>
        <v>158.59000000000015</v>
      </c>
      <c r="C68" s="149">
        <v>4.8799999999999998E-3</v>
      </c>
      <c r="E68" s="144">
        <f t="shared" si="2"/>
        <v>0.7739192000000007</v>
      </c>
      <c r="G68" s="149">
        <v>1.7319999999999999E-2</v>
      </c>
      <c r="I68" s="144">
        <f t="shared" si="0"/>
        <v>2.7467788000000022</v>
      </c>
      <c r="K68" s="145" t="s">
        <v>441</v>
      </c>
    </row>
    <row r="69" spans="1:11" s="139" customFormat="1" ht="19.5" customHeight="1">
      <c r="A69" s="154"/>
      <c r="B69" s="138"/>
      <c r="C69" s="143"/>
      <c r="E69" s="144"/>
      <c r="G69" s="143"/>
      <c r="I69" s="144"/>
      <c r="K69" s="150"/>
    </row>
    <row r="70" spans="1:11" s="139" customFormat="1" ht="19.5" customHeight="1">
      <c r="A70" s="153" t="s">
        <v>443</v>
      </c>
      <c r="B70" s="140">
        <v>3654.5</v>
      </c>
      <c r="C70" s="146">
        <v>6.8000000000000005E-2</v>
      </c>
      <c r="E70" s="144">
        <f>B70*C70</f>
        <v>248.50600000000003</v>
      </c>
      <c r="G70" s="143"/>
      <c r="I70" s="144"/>
      <c r="K70" s="145" t="s">
        <v>408</v>
      </c>
    </row>
    <row r="71" spans="1:11" s="139" customFormat="1" ht="19.5" customHeight="1">
      <c r="A71" s="154"/>
      <c r="B71" s="138"/>
      <c r="C71" s="143"/>
      <c r="E71" s="144"/>
      <c r="G71" s="143"/>
      <c r="I71" s="144"/>
      <c r="K71" s="150"/>
    </row>
    <row r="72" spans="1:11" s="139" customFormat="1" ht="19.5" customHeight="1">
      <c r="A72" s="153" t="s">
        <v>444</v>
      </c>
      <c r="B72" s="141">
        <v>3586.59</v>
      </c>
      <c r="C72" s="143"/>
      <c r="E72" s="144"/>
      <c r="G72" s="146">
        <v>3.0000000000000001E-3</v>
      </c>
      <c r="I72" s="144">
        <f t="shared" ref="I72:I78" si="3">B72*G72</f>
        <v>10.759770000000001</v>
      </c>
      <c r="K72" s="145" t="s">
        <v>445</v>
      </c>
    </row>
    <row r="73" spans="1:11" s="139" customFormat="1" ht="19.5" customHeight="1">
      <c r="A73" s="153" t="s">
        <v>446</v>
      </c>
      <c r="B73" s="141">
        <v>3586.59</v>
      </c>
      <c r="C73" s="143"/>
      <c r="E73" s="144"/>
      <c r="G73" s="146">
        <v>4.2000000000000003E-2</v>
      </c>
      <c r="I73" s="144">
        <f t="shared" si="3"/>
        <v>150.63678000000002</v>
      </c>
      <c r="K73" s="145" t="s">
        <v>447</v>
      </c>
    </row>
    <row r="74" spans="1:11" s="139" customFormat="1" ht="19.5" customHeight="1">
      <c r="A74" s="153" t="s">
        <v>448</v>
      </c>
      <c r="B74" s="141">
        <v>3586.59</v>
      </c>
      <c r="C74" s="143"/>
      <c r="E74" s="144"/>
      <c r="G74" s="146">
        <v>3.4500000000000003E-2</v>
      </c>
      <c r="I74" s="144">
        <f t="shared" si="3"/>
        <v>123.73735500000002</v>
      </c>
      <c r="K74" s="145" t="s">
        <v>449</v>
      </c>
    </row>
    <row r="75" spans="1:11" s="139" customFormat="1" ht="19.5" customHeight="1">
      <c r="A75" s="153" t="s">
        <v>450</v>
      </c>
      <c r="B75" s="141">
        <f>I52</f>
        <v>3428</v>
      </c>
      <c r="C75" s="143"/>
      <c r="E75" s="144"/>
      <c r="G75" s="146">
        <v>1E-3</v>
      </c>
      <c r="I75" s="144">
        <f t="shared" si="3"/>
        <v>3.4279999999999999</v>
      </c>
      <c r="K75" s="145" t="s">
        <v>451</v>
      </c>
    </row>
    <row r="76" spans="1:11" s="139" customFormat="1" ht="19.5" customHeight="1">
      <c r="A76" s="156" t="s">
        <v>452</v>
      </c>
      <c r="B76" s="141">
        <v>3586.59</v>
      </c>
      <c r="C76" s="143"/>
      <c r="E76" s="144"/>
      <c r="G76" s="149">
        <v>1.6000000000000001E-4</v>
      </c>
      <c r="I76" s="144">
        <f t="shared" si="3"/>
        <v>0.5738544000000001</v>
      </c>
      <c r="K76" s="145" t="s">
        <v>453</v>
      </c>
    </row>
    <row r="77" spans="1:11" s="139" customFormat="1" ht="19.5" customHeight="1">
      <c r="A77" s="153" t="s">
        <v>189</v>
      </c>
      <c r="B77" s="141">
        <v>3586.59</v>
      </c>
      <c r="C77" s="143"/>
      <c r="E77" s="144"/>
      <c r="G77" s="146">
        <v>1.5E-3</v>
      </c>
      <c r="I77" s="144">
        <f t="shared" si="3"/>
        <v>5.3798850000000007</v>
      </c>
      <c r="K77" s="145" t="s">
        <v>454</v>
      </c>
    </row>
    <row r="78" spans="1:11" s="139" customFormat="1" ht="19.5" customHeight="1">
      <c r="A78" s="153" t="s">
        <v>234</v>
      </c>
      <c r="B78" s="151">
        <v>130.68</v>
      </c>
      <c r="C78" s="143"/>
      <c r="E78" s="144"/>
      <c r="G78" s="146">
        <v>0.08</v>
      </c>
      <c r="I78" s="144">
        <f t="shared" si="3"/>
        <v>10.454400000000001</v>
      </c>
      <c r="K78" s="145" t="s">
        <v>407</v>
      </c>
    </row>
    <row r="79" spans="1:11" s="139" customFormat="1" ht="19.5" customHeight="1">
      <c r="A79" s="154"/>
      <c r="B79" s="138"/>
      <c r="C79" s="143"/>
      <c r="E79" s="144"/>
      <c r="G79" s="143"/>
      <c r="I79" s="144"/>
      <c r="K79" s="150"/>
    </row>
    <row r="80" spans="1:11" s="139" customFormat="1" ht="19.5" customHeight="1">
      <c r="A80" s="153" t="s">
        <v>455</v>
      </c>
      <c r="B80" s="140">
        <f>B70</f>
        <v>3654.5</v>
      </c>
      <c r="C80" s="146">
        <v>2.4E-2</v>
      </c>
      <c r="E80" s="144">
        <f t="shared" ref="E80:E81" si="4">B80*C80</f>
        <v>87.707999999999998</v>
      </c>
      <c r="G80" s="143"/>
      <c r="I80" s="144"/>
      <c r="K80" s="145" t="s">
        <v>408</v>
      </c>
    </row>
    <row r="81" spans="1:11" s="139" customFormat="1" ht="19.5" customHeight="1">
      <c r="A81" s="153" t="s">
        <v>152</v>
      </c>
      <c r="B81" s="140">
        <f>B70</f>
        <v>3654.5</v>
      </c>
      <c r="C81" s="146">
        <v>5.0000000000000001E-3</v>
      </c>
      <c r="E81" s="144">
        <f t="shared" si="4"/>
        <v>18.272500000000001</v>
      </c>
      <c r="G81" s="143"/>
      <c r="I81" s="144"/>
      <c r="K81" s="145" t="s">
        <v>408</v>
      </c>
    </row>
  </sheetData>
  <mergeCells count="97">
    <mergeCell ref="A45:C45"/>
    <mergeCell ref="D45:E45"/>
    <mergeCell ref="I45:J45"/>
    <mergeCell ref="A46:F46"/>
    <mergeCell ref="I46:J46"/>
    <mergeCell ref="A43:C43"/>
    <mergeCell ref="D43:E43"/>
    <mergeCell ref="I43:J43"/>
    <mergeCell ref="A44:C44"/>
    <mergeCell ref="D44:E44"/>
    <mergeCell ref="I44:J44"/>
    <mergeCell ref="K40:K42"/>
    <mergeCell ref="A41:C41"/>
    <mergeCell ref="D41:E41"/>
    <mergeCell ref="I41:J41"/>
    <mergeCell ref="A42:C42"/>
    <mergeCell ref="D42:E42"/>
    <mergeCell ref="I42:J42"/>
    <mergeCell ref="A39:C39"/>
    <mergeCell ref="D39:E39"/>
    <mergeCell ref="I39:J39"/>
    <mergeCell ref="A40:C40"/>
    <mergeCell ref="D40:E40"/>
    <mergeCell ref="I40:J40"/>
    <mergeCell ref="K36:L36"/>
    <mergeCell ref="D37:E37"/>
    <mergeCell ref="I37:J37"/>
    <mergeCell ref="A38:C38"/>
    <mergeCell ref="D38:E38"/>
    <mergeCell ref="I38:J38"/>
    <mergeCell ref="A35:C35"/>
    <mergeCell ref="D35:E35"/>
    <mergeCell ref="I35:J35"/>
    <mergeCell ref="A36:C36"/>
    <mergeCell ref="D36:E36"/>
    <mergeCell ref="I36:J36"/>
    <mergeCell ref="A33:C33"/>
    <mergeCell ref="D33:E33"/>
    <mergeCell ref="I33:J33"/>
    <mergeCell ref="A34:C34"/>
    <mergeCell ref="D34:E34"/>
    <mergeCell ref="I34:J34"/>
    <mergeCell ref="A31:C31"/>
    <mergeCell ref="D31:E31"/>
    <mergeCell ref="I31:J31"/>
    <mergeCell ref="A32:C32"/>
    <mergeCell ref="D32:E32"/>
    <mergeCell ref="I32:J32"/>
    <mergeCell ref="A29:C29"/>
    <mergeCell ref="D29:E29"/>
    <mergeCell ref="I29:J29"/>
    <mergeCell ref="A30:C30"/>
    <mergeCell ref="D30:E30"/>
    <mergeCell ref="I30:J30"/>
    <mergeCell ref="A27:C27"/>
    <mergeCell ref="D27:E27"/>
    <mergeCell ref="I27:J27"/>
    <mergeCell ref="A28:C28"/>
    <mergeCell ref="D28:E28"/>
    <mergeCell ref="I28:J28"/>
    <mergeCell ref="A25:C25"/>
    <mergeCell ref="D25:E25"/>
    <mergeCell ref="I25:J25"/>
    <mergeCell ref="A26:C26"/>
    <mergeCell ref="D26:E26"/>
    <mergeCell ref="I26:J26"/>
    <mergeCell ref="A23:C23"/>
    <mergeCell ref="D23:E23"/>
    <mergeCell ref="I23:J23"/>
    <mergeCell ref="A24:C24"/>
    <mergeCell ref="D24:E24"/>
    <mergeCell ref="I24:J24"/>
    <mergeCell ref="A18:C18"/>
    <mergeCell ref="D18:E18"/>
    <mergeCell ref="I18:J18"/>
    <mergeCell ref="A19:C19"/>
    <mergeCell ref="D19:E19"/>
    <mergeCell ref="M19:M22"/>
    <mergeCell ref="A20:C20"/>
    <mergeCell ref="D20:E20"/>
    <mergeCell ref="A21:C21"/>
    <mergeCell ref="D21:E21"/>
    <mergeCell ref="I21:J21"/>
    <mergeCell ref="A22:C22"/>
    <mergeCell ref="D22:E22"/>
    <mergeCell ref="A16:C16"/>
    <mergeCell ref="D16:E16"/>
    <mergeCell ref="I16:J16"/>
    <mergeCell ref="A17:C17"/>
    <mergeCell ref="D17:E17"/>
    <mergeCell ref="I17:J17"/>
    <mergeCell ref="A14:C14"/>
    <mergeCell ref="D14:E14"/>
    <mergeCell ref="I14:J14"/>
    <mergeCell ref="A15:C15"/>
    <mergeCell ref="D15:E15"/>
    <mergeCell ref="I15:J1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M72"/>
  <sheetViews>
    <sheetView topLeftCell="B36" zoomScaleNormal="100" workbookViewId="0">
      <selection activeCell="O43" sqref="O43"/>
    </sheetView>
  </sheetViews>
  <sheetFormatPr baseColWidth="10" defaultColWidth="11.54296875" defaultRowHeight="14.5"/>
  <cols>
    <col min="1" max="16384" width="11.54296875" style="15"/>
  </cols>
  <sheetData>
    <row r="1" spans="1:1" ht="15.5">
      <c r="A1" s="9" t="s">
        <v>49</v>
      </c>
    </row>
    <row r="2" spans="1:1">
      <c r="A2" s="11"/>
    </row>
    <row r="3" spans="1:1">
      <c r="A3" s="12">
        <v>43831</v>
      </c>
    </row>
    <row r="4" spans="1:1">
      <c r="A4" s="13" t="s">
        <v>50</v>
      </c>
    </row>
    <row r="5" spans="1:1">
      <c r="A5" s="13" t="s">
        <v>51</v>
      </c>
    </row>
    <row r="7" spans="1:1" ht="15.5">
      <c r="A7" s="9" t="s">
        <v>52</v>
      </c>
    </row>
    <row r="8" spans="1:1">
      <c r="A8" s="11"/>
    </row>
    <row r="9" spans="1:1">
      <c r="A9" s="13" t="s">
        <v>53</v>
      </c>
    </row>
    <row r="10" spans="1:1">
      <c r="A10" s="13" t="s">
        <v>54</v>
      </c>
    </row>
    <row r="11" spans="1:1">
      <c r="A11" s="13" t="s">
        <v>55</v>
      </c>
    </row>
    <row r="12" spans="1:1">
      <c r="A12" s="14" t="s">
        <v>56</v>
      </c>
    </row>
    <row r="13" spans="1:1">
      <c r="A13" s="14" t="s">
        <v>57</v>
      </c>
    </row>
    <row r="14" spans="1:1">
      <c r="A14" s="14" t="s">
        <v>58</v>
      </c>
    </row>
    <row r="15" spans="1:1">
      <c r="A15" s="14" t="s">
        <v>59</v>
      </c>
    </row>
    <row r="16" spans="1:1">
      <c r="A16" s="14" t="s">
        <v>60</v>
      </c>
    </row>
    <row r="17" spans="1:11">
      <c r="A17" s="13" t="s">
        <v>61</v>
      </c>
    </row>
    <row r="18" spans="1:11">
      <c r="A18" s="13" t="s">
        <v>62</v>
      </c>
    </row>
    <row r="19" spans="1:11">
      <c r="A19" s="13" t="s">
        <v>63</v>
      </c>
    </row>
    <row r="21" spans="1:11" ht="15.5">
      <c r="A21" s="9" t="s">
        <v>64</v>
      </c>
    </row>
    <row r="22" spans="1:11">
      <c r="A22" s="11"/>
    </row>
    <row r="23" spans="1:11">
      <c r="A23" s="13" t="s">
        <v>65</v>
      </c>
    </row>
    <row r="24" spans="1:11">
      <c r="A24" s="13" t="s">
        <v>66</v>
      </c>
    </row>
    <row r="25" spans="1:11">
      <c r="A25" s="13" t="s">
        <v>67</v>
      </c>
    </row>
    <row r="26" spans="1:11">
      <c r="A26" s="8"/>
    </row>
    <row r="27" spans="1:11" ht="15.5">
      <c r="A27" s="9" t="s">
        <v>68</v>
      </c>
    </row>
    <row r="29" spans="1:11" s="19" customFormat="1" ht="12" customHeight="1">
      <c r="A29" s="704" t="s">
        <v>69</v>
      </c>
      <c r="B29" s="585" t="s">
        <v>70</v>
      </c>
      <c r="C29" s="586"/>
      <c r="D29" s="587"/>
      <c r="E29" s="585" t="s">
        <v>71</v>
      </c>
      <c r="F29" s="587"/>
      <c r="G29" s="16" t="s">
        <v>72</v>
      </c>
      <c r="H29" s="17" t="s">
        <v>73</v>
      </c>
      <c r="I29" s="18" t="s">
        <v>74</v>
      </c>
      <c r="J29" s="707" t="s">
        <v>75</v>
      </c>
      <c r="K29" s="708"/>
    </row>
    <row r="30" spans="1:11" s="19" customFormat="1" ht="11.25" customHeight="1">
      <c r="A30" s="705"/>
      <c r="B30" s="709" t="s">
        <v>76</v>
      </c>
      <c r="C30" s="710"/>
      <c r="D30" s="711"/>
      <c r="E30" s="712">
        <v>151.66999999999999</v>
      </c>
      <c r="F30" s="713"/>
      <c r="G30" s="20">
        <v>12</v>
      </c>
      <c r="H30" s="21">
        <v>1820.04</v>
      </c>
      <c r="I30" s="22"/>
      <c r="J30" s="714"/>
      <c r="K30" s="715"/>
    </row>
    <row r="31" spans="1:11" s="19" customFormat="1" ht="30" customHeight="1">
      <c r="A31" s="705"/>
      <c r="B31" s="716"/>
      <c r="C31" s="717"/>
      <c r="D31" s="718"/>
      <c r="E31" s="716"/>
      <c r="F31" s="718"/>
      <c r="G31" s="23"/>
      <c r="H31" s="23"/>
      <c r="I31" s="23"/>
      <c r="J31" s="716"/>
      <c r="K31" s="718"/>
    </row>
    <row r="32" spans="1:11" s="19" customFormat="1" ht="12" customHeight="1">
      <c r="A32" s="706"/>
      <c r="B32" s="696" t="s">
        <v>77</v>
      </c>
      <c r="C32" s="697"/>
      <c r="D32" s="697"/>
      <c r="E32" s="697"/>
      <c r="F32" s="697"/>
      <c r="G32" s="698"/>
      <c r="H32" s="24">
        <v>1820.04</v>
      </c>
      <c r="I32" s="25">
        <v>0</v>
      </c>
      <c r="J32" s="699"/>
      <c r="K32" s="700"/>
    </row>
    <row r="33" spans="1:11" s="19" customFormat="1" ht="12" customHeight="1">
      <c r="A33" s="701" t="s">
        <v>78</v>
      </c>
      <c r="B33" s="585" t="s">
        <v>70</v>
      </c>
      <c r="C33" s="586"/>
      <c r="D33" s="587"/>
      <c r="E33" s="585" t="s">
        <v>71</v>
      </c>
      <c r="F33" s="587"/>
      <c r="G33" s="18" t="s">
        <v>79</v>
      </c>
      <c r="H33" s="18" t="s">
        <v>80</v>
      </c>
      <c r="I33" s="18" t="s">
        <v>81</v>
      </c>
      <c r="J33" s="588" t="s">
        <v>82</v>
      </c>
      <c r="K33" s="589"/>
    </row>
    <row r="34" spans="1:11" s="19" customFormat="1" ht="11.25" customHeight="1">
      <c r="A34" s="702"/>
      <c r="B34" s="594" t="s">
        <v>83</v>
      </c>
      <c r="C34" s="595"/>
      <c r="D34" s="596"/>
      <c r="E34" s="597"/>
      <c r="F34" s="598"/>
      <c r="G34" s="26"/>
      <c r="H34" s="26"/>
      <c r="I34" s="26"/>
      <c r="J34" s="597"/>
      <c r="K34" s="598"/>
    </row>
    <row r="35" spans="1:11" s="19" customFormat="1" ht="11.25" customHeight="1">
      <c r="A35" s="702"/>
      <c r="B35" s="611" t="s">
        <v>84</v>
      </c>
      <c r="C35" s="612"/>
      <c r="D35" s="613"/>
      <c r="E35" s="590">
        <v>1820.04</v>
      </c>
      <c r="F35" s="591"/>
      <c r="G35" s="27"/>
      <c r="H35" s="27"/>
      <c r="I35" s="28">
        <v>7</v>
      </c>
      <c r="J35" s="616">
        <v>127.4</v>
      </c>
      <c r="K35" s="617"/>
    </row>
    <row r="36" spans="1:11" s="19" customFormat="1" ht="11.25" customHeight="1">
      <c r="A36" s="702"/>
      <c r="B36" s="599" t="s">
        <v>85</v>
      </c>
      <c r="C36" s="600"/>
      <c r="D36" s="601"/>
      <c r="E36" s="609">
        <v>1820.04</v>
      </c>
      <c r="F36" s="610"/>
      <c r="G36" s="29">
        <v>1</v>
      </c>
      <c r="H36" s="30">
        <v>18.2</v>
      </c>
      <c r="I36" s="29">
        <v>2</v>
      </c>
      <c r="J36" s="602">
        <v>36.4</v>
      </c>
      <c r="K36" s="603"/>
    </row>
    <row r="37" spans="1:11" s="19" customFormat="1" ht="11.25" customHeight="1">
      <c r="A37" s="702"/>
      <c r="B37" s="611" t="s">
        <v>86</v>
      </c>
      <c r="C37" s="612"/>
      <c r="D37" s="613"/>
      <c r="E37" s="590">
        <v>1820.04</v>
      </c>
      <c r="F37" s="591"/>
      <c r="G37" s="28">
        <v>0.25</v>
      </c>
      <c r="H37" s="31">
        <v>4.55</v>
      </c>
      <c r="I37" s="28">
        <v>0.75</v>
      </c>
      <c r="J37" s="616">
        <v>13.65</v>
      </c>
      <c r="K37" s="617"/>
    </row>
    <row r="38" spans="1:11" s="19" customFormat="1" ht="11.25" customHeight="1">
      <c r="A38" s="702"/>
      <c r="B38" s="599" t="s">
        <v>87</v>
      </c>
      <c r="C38" s="600"/>
      <c r="D38" s="601"/>
      <c r="E38" s="614"/>
      <c r="F38" s="615"/>
      <c r="G38" s="32"/>
      <c r="H38" s="30">
        <v>20</v>
      </c>
      <c r="I38" s="32"/>
      <c r="J38" s="602">
        <v>20</v>
      </c>
      <c r="K38" s="603"/>
    </row>
    <row r="39" spans="1:11" s="19" customFormat="1" ht="11.25" customHeight="1">
      <c r="A39" s="702"/>
      <c r="B39" s="719" t="s">
        <v>88</v>
      </c>
      <c r="C39" s="720"/>
      <c r="D39" s="721"/>
      <c r="E39" s="620"/>
      <c r="F39" s="621"/>
      <c r="G39" s="27"/>
      <c r="H39" s="27"/>
      <c r="I39" s="27"/>
      <c r="J39" s="694">
        <v>20</v>
      </c>
      <c r="K39" s="695"/>
    </row>
    <row r="40" spans="1:11" s="19" customFormat="1" ht="11.25" customHeight="1">
      <c r="A40" s="702"/>
      <c r="B40" s="625" t="s">
        <v>89</v>
      </c>
      <c r="C40" s="626"/>
      <c r="D40" s="627"/>
      <c r="E40" s="609">
        <v>1820.04</v>
      </c>
      <c r="F40" s="610"/>
      <c r="G40" s="32"/>
      <c r="H40" s="32"/>
      <c r="I40" s="29">
        <v>2</v>
      </c>
      <c r="J40" s="639">
        <v>36.4</v>
      </c>
      <c r="K40" s="640"/>
    </row>
    <row r="41" spans="1:11" s="19" customFormat="1" ht="11.25" customHeight="1">
      <c r="A41" s="702"/>
      <c r="B41" s="611" t="s">
        <v>90</v>
      </c>
      <c r="C41" s="612"/>
      <c r="D41" s="613"/>
      <c r="E41" s="620"/>
      <c r="F41" s="621"/>
      <c r="G41" s="27"/>
      <c r="H41" s="27"/>
      <c r="I41" s="27"/>
      <c r="J41" s="620"/>
      <c r="K41" s="621"/>
    </row>
    <row r="42" spans="1:11" s="19" customFormat="1" ht="11.25" customHeight="1">
      <c r="A42" s="702"/>
      <c r="B42" s="625" t="s">
        <v>91</v>
      </c>
      <c r="C42" s="626"/>
      <c r="D42" s="627"/>
      <c r="E42" s="609">
        <v>1820.04</v>
      </c>
      <c r="F42" s="610"/>
      <c r="G42" s="29">
        <v>6.9</v>
      </c>
      <c r="H42" s="30">
        <v>125.58</v>
      </c>
      <c r="I42" s="29">
        <v>8.5500000000000007</v>
      </c>
      <c r="J42" s="639">
        <v>155.61000000000001</v>
      </c>
      <c r="K42" s="640"/>
    </row>
    <row r="43" spans="1:11" s="19" customFormat="1" ht="11.25" customHeight="1">
      <c r="A43" s="702"/>
      <c r="B43" s="611" t="s">
        <v>92</v>
      </c>
      <c r="C43" s="612"/>
      <c r="D43" s="613"/>
      <c r="E43" s="590">
        <v>1820.04</v>
      </c>
      <c r="F43" s="591"/>
      <c r="G43" s="28">
        <v>0.4</v>
      </c>
      <c r="H43" s="31">
        <v>7.28</v>
      </c>
      <c r="I43" s="28">
        <v>1.9</v>
      </c>
      <c r="J43" s="616">
        <v>34.58</v>
      </c>
      <c r="K43" s="617"/>
    </row>
    <row r="44" spans="1:11" s="19" customFormat="1" ht="11.25" customHeight="1">
      <c r="A44" s="702"/>
      <c r="B44" s="625" t="s">
        <v>93</v>
      </c>
      <c r="C44" s="626"/>
      <c r="D44" s="627"/>
      <c r="E44" s="609">
        <v>1820.04</v>
      </c>
      <c r="F44" s="610"/>
      <c r="G44" s="29">
        <v>4.01</v>
      </c>
      <c r="H44" s="30">
        <v>72.98</v>
      </c>
      <c r="I44" s="29">
        <v>6.01</v>
      </c>
      <c r="J44" s="639">
        <v>109.38</v>
      </c>
      <c r="K44" s="640"/>
    </row>
    <row r="45" spans="1:11" s="19" customFormat="1" ht="11.25" customHeight="1">
      <c r="A45" s="702"/>
      <c r="B45" s="611" t="s">
        <v>94</v>
      </c>
      <c r="C45" s="612"/>
      <c r="D45" s="613"/>
      <c r="E45" s="590">
        <v>1820.04</v>
      </c>
      <c r="F45" s="591"/>
      <c r="G45" s="27"/>
      <c r="H45" s="27"/>
      <c r="I45" s="28">
        <v>3.45</v>
      </c>
      <c r="J45" s="616">
        <v>62.79</v>
      </c>
      <c r="K45" s="617"/>
    </row>
    <row r="46" spans="1:11" s="19" customFormat="1" ht="11.25" customHeight="1">
      <c r="A46" s="702"/>
      <c r="B46" s="625" t="s">
        <v>95</v>
      </c>
      <c r="C46" s="626"/>
      <c r="D46" s="627"/>
      <c r="E46" s="614"/>
      <c r="F46" s="615"/>
      <c r="G46" s="32"/>
      <c r="H46" s="32"/>
      <c r="I46" s="32"/>
      <c r="J46" s="614"/>
      <c r="K46" s="615"/>
    </row>
    <row r="47" spans="1:11" s="19" customFormat="1" ht="11.25" customHeight="1">
      <c r="A47" s="702"/>
      <c r="B47" s="611" t="s">
        <v>96</v>
      </c>
      <c r="C47" s="612"/>
      <c r="D47" s="613"/>
      <c r="E47" s="590">
        <v>1820.04</v>
      </c>
      <c r="F47" s="591"/>
      <c r="G47" s="27"/>
      <c r="H47" s="27"/>
      <c r="I47" s="28">
        <v>4.05</v>
      </c>
      <c r="J47" s="616">
        <v>73.709999999999994</v>
      </c>
      <c r="K47" s="617"/>
    </row>
    <row r="48" spans="1:11" s="19" customFormat="1" ht="11.25" customHeight="1">
      <c r="A48" s="702"/>
      <c r="B48" s="625" t="s">
        <v>97</v>
      </c>
      <c r="C48" s="626"/>
      <c r="D48" s="627"/>
      <c r="E48" s="609">
        <v>1820.04</v>
      </c>
      <c r="F48" s="610"/>
      <c r="G48" s="32"/>
      <c r="H48" s="32"/>
      <c r="I48" s="29">
        <v>0.15</v>
      </c>
      <c r="J48" s="690">
        <v>2.73</v>
      </c>
      <c r="K48" s="691"/>
    </row>
    <row r="49" spans="1:13" s="19" customFormat="1" ht="11.25" customHeight="1">
      <c r="A49" s="702"/>
      <c r="B49" s="611" t="s">
        <v>98</v>
      </c>
      <c r="C49" s="612"/>
      <c r="D49" s="613"/>
      <c r="E49" s="620"/>
      <c r="F49" s="621"/>
      <c r="G49" s="27"/>
      <c r="H49" s="27"/>
      <c r="I49" s="27"/>
      <c r="J49" s="620"/>
      <c r="K49" s="621"/>
    </row>
    <row r="50" spans="1:13" s="19" customFormat="1" ht="11.25" customHeight="1">
      <c r="A50" s="702"/>
      <c r="B50" s="625" t="s">
        <v>99</v>
      </c>
      <c r="C50" s="626"/>
      <c r="D50" s="627"/>
      <c r="E50" s="609">
        <v>1820.04</v>
      </c>
      <c r="F50" s="610"/>
      <c r="G50" s="32"/>
      <c r="H50" s="32"/>
      <c r="I50" s="29">
        <v>0.1</v>
      </c>
      <c r="J50" s="690">
        <v>1.82</v>
      </c>
      <c r="K50" s="691"/>
    </row>
    <row r="51" spans="1:13" s="19" customFormat="1" ht="11.25" customHeight="1">
      <c r="A51" s="702"/>
      <c r="B51" s="611" t="s">
        <v>100</v>
      </c>
      <c r="C51" s="612"/>
      <c r="D51" s="613"/>
      <c r="E51" s="590">
        <v>1820.04</v>
      </c>
      <c r="F51" s="591"/>
      <c r="G51" s="27"/>
      <c r="H51" s="27"/>
      <c r="I51" s="28">
        <v>0.3</v>
      </c>
      <c r="J51" s="692">
        <v>5.46</v>
      </c>
      <c r="K51" s="693"/>
    </row>
    <row r="52" spans="1:13" s="19" customFormat="1" ht="11.25" customHeight="1">
      <c r="A52" s="702"/>
      <c r="B52" s="625" t="s">
        <v>101</v>
      </c>
      <c r="C52" s="626"/>
      <c r="D52" s="627"/>
      <c r="E52" s="609">
        <v>1820.04</v>
      </c>
      <c r="F52" s="610"/>
      <c r="G52" s="32"/>
      <c r="H52" s="32"/>
      <c r="I52" s="29">
        <v>1.6E-2</v>
      </c>
      <c r="J52" s="690">
        <v>0.28999999999999998</v>
      </c>
      <c r="K52" s="691"/>
    </row>
    <row r="53" spans="1:13" s="19" customFormat="1" ht="11.25" customHeight="1">
      <c r="A53" s="702"/>
      <c r="B53" s="611" t="s">
        <v>102</v>
      </c>
      <c r="C53" s="612"/>
      <c r="D53" s="613"/>
      <c r="E53" s="590">
        <v>1820.04</v>
      </c>
      <c r="F53" s="591"/>
      <c r="G53" s="27"/>
      <c r="H53" s="27"/>
      <c r="I53" s="28">
        <v>0.68</v>
      </c>
      <c r="J53" s="616">
        <v>12.38</v>
      </c>
      <c r="K53" s="617"/>
    </row>
    <row r="54" spans="1:13" s="19" customFormat="1" ht="11.25" customHeight="1">
      <c r="A54" s="702"/>
      <c r="B54" s="625" t="s">
        <v>103</v>
      </c>
      <c r="C54" s="626"/>
      <c r="D54" s="627"/>
      <c r="E54" s="609">
        <v>1820.04</v>
      </c>
      <c r="F54" s="610"/>
      <c r="G54" s="32"/>
      <c r="H54" s="32"/>
      <c r="I54" s="29">
        <v>0.55000000000000004</v>
      </c>
      <c r="J54" s="639">
        <v>10.01</v>
      </c>
      <c r="K54" s="640"/>
    </row>
    <row r="55" spans="1:13" s="19" customFormat="1" ht="11.25" customHeight="1">
      <c r="A55" s="702"/>
      <c r="B55" s="611" t="s">
        <v>104</v>
      </c>
      <c r="C55" s="612"/>
      <c r="D55" s="613"/>
      <c r="E55" s="590">
        <v>1844.59</v>
      </c>
      <c r="F55" s="591"/>
      <c r="G55" s="28">
        <v>2.4</v>
      </c>
      <c r="H55" s="31">
        <v>44.27</v>
      </c>
      <c r="I55" s="27"/>
      <c r="J55" s="620"/>
      <c r="K55" s="621"/>
    </row>
    <row r="56" spans="1:13" s="19" customFormat="1" ht="11.25" customHeight="1">
      <c r="A56" s="702"/>
      <c r="B56" s="625" t="s">
        <v>105</v>
      </c>
      <c r="C56" s="626"/>
      <c r="D56" s="627"/>
      <c r="E56" s="609">
        <v>1844.59</v>
      </c>
      <c r="F56" s="610"/>
      <c r="G56" s="29">
        <v>0.5</v>
      </c>
      <c r="H56" s="30">
        <v>9.2200000000000006</v>
      </c>
      <c r="I56" s="32"/>
      <c r="J56" s="614"/>
      <c r="K56" s="615"/>
    </row>
    <row r="57" spans="1:13" s="19" customFormat="1" ht="11.25" customHeight="1">
      <c r="A57" s="702"/>
      <c r="B57" s="611" t="s">
        <v>106</v>
      </c>
      <c r="C57" s="612"/>
      <c r="D57" s="613"/>
      <c r="E57" s="590">
        <v>1844.59</v>
      </c>
      <c r="F57" s="591"/>
      <c r="G57" s="28">
        <v>6.8</v>
      </c>
      <c r="H57" s="31">
        <v>125.43</v>
      </c>
      <c r="I57" s="27"/>
      <c r="J57" s="620"/>
      <c r="K57" s="621"/>
    </row>
    <row r="58" spans="1:13" s="19" customFormat="1" ht="11.25" customHeight="1">
      <c r="A58" s="702"/>
      <c r="B58" s="684" t="s">
        <v>655</v>
      </c>
      <c r="C58" s="685"/>
      <c r="D58" s="686"/>
      <c r="E58" s="614"/>
      <c r="F58" s="615"/>
      <c r="G58" s="32"/>
      <c r="H58" s="32"/>
      <c r="I58" s="32"/>
      <c r="J58" s="628">
        <v>-279.04000000000002</v>
      </c>
      <c r="K58" s="629"/>
      <c r="L58" s="643">
        <f>98.25/100*H30+J36+J38</f>
        <v>1844.5893000000001</v>
      </c>
      <c r="M58" s="644"/>
    </row>
    <row r="59" spans="1:13" s="19" customFormat="1" ht="11.25" customHeight="1">
      <c r="A59" s="702"/>
      <c r="B59" s="687" t="s">
        <v>656</v>
      </c>
      <c r="C59" s="688"/>
      <c r="D59" s="689"/>
      <c r="E59" s="620"/>
      <c r="F59" s="621"/>
      <c r="G59" s="27"/>
      <c r="H59" s="27"/>
      <c r="I59" s="27"/>
      <c r="J59" s="616">
        <v>-64.400000000000006</v>
      </c>
      <c r="K59" s="617"/>
    </row>
    <row r="60" spans="1:13" s="19" customFormat="1" ht="11.25" customHeight="1">
      <c r="A60" s="702"/>
      <c r="B60" s="677" t="s">
        <v>657</v>
      </c>
      <c r="C60" s="678"/>
      <c r="D60" s="679"/>
      <c r="E60" s="633"/>
      <c r="F60" s="634"/>
      <c r="G60" s="33"/>
      <c r="H60" s="34">
        <v>25.97</v>
      </c>
      <c r="I60" s="33"/>
      <c r="J60" s="633"/>
      <c r="K60" s="634"/>
    </row>
    <row r="61" spans="1:13" s="19" customFormat="1" ht="12" customHeight="1">
      <c r="A61" s="703"/>
      <c r="B61" s="585" t="s">
        <v>110</v>
      </c>
      <c r="C61" s="586"/>
      <c r="D61" s="586"/>
      <c r="E61" s="586"/>
      <c r="F61" s="586"/>
      <c r="G61" s="587"/>
      <c r="H61" s="35">
        <v>427.51</v>
      </c>
      <c r="I61" s="36"/>
      <c r="J61" s="622">
        <v>359.17</v>
      </c>
      <c r="K61" s="623"/>
    </row>
    <row r="62" spans="1:13" s="19" customFormat="1" ht="15.75" customHeight="1">
      <c r="A62" s="680" t="s">
        <v>111</v>
      </c>
      <c r="B62" s="681"/>
      <c r="C62" s="681"/>
      <c r="D62" s="681"/>
      <c r="E62" s="681"/>
      <c r="F62" s="681"/>
      <c r="G62" s="681"/>
      <c r="H62" s="682"/>
      <c r="I62" s="652" t="s">
        <v>112</v>
      </c>
      <c r="J62" s="683"/>
      <c r="K62" s="653"/>
    </row>
    <row r="63" spans="1:13" s="19" customFormat="1" ht="22.5" customHeight="1">
      <c r="A63" s="588" t="s">
        <v>113</v>
      </c>
      <c r="B63" s="668"/>
      <c r="C63" s="668"/>
      <c r="D63" s="589"/>
      <c r="E63" s="669">
        <v>1466.02</v>
      </c>
      <c r="F63" s="670"/>
      <c r="G63" s="37">
        <v>0.5</v>
      </c>
      <c r="H63" s="35">
        <v>7.33</v>
      </c>
      <c r="I63" s="38" t="s">
        <v>114</v>
      </c>
      <c r="J63" s="35">
        <v>2.5</v>
      </c>
      <c r="K63" s="39"/>
    </row>
    <row r="64" spans="1:13" s="19" customFormat="1" ht="14" customHeight="1">
      <c r="A64" s="671" t="s">
        <v>115</v>
      </c>
      <c r="B64" s="672"/>
      <c r="C64" s="672"/>
      <c r="D64" s="672"/>
      <c r="E64" s="672"/>
      <c r="F64" s="672"/>
      <c r="G64" s="673"/>
      <c r="H64" s="40">
        <v>1385.2</v>
      </c>
      <c r="I64" s="41" t="s">
        <v>116</v>
      </c>
      <c r="J64" s="35">
        <v>2.5</v>
      </c>
      <c r="K64" s="42">
        <v>0</v>
      </c>
    </row>
    <row r="65" spans="1:11" s="19" customFormat="1" ht="12" customHeight="1">
      <c r="A65" s="674" t="s">
        <v>117</v>
      </c>
      <c r="B65" s="675"/>
      <c r="C65" s="43" t="s">
        <v>118</v>
      </c>
      <c r="D65" s="652" t="s">
        <v>119</v>
      </c>
      <c r="E65" s="653"/>
      <c r="F65" s="674" t="s">
        <v>117</v>
      </c>
      <c r="G65" s="676"/>
      <c r="H65" s="675"/>
      <c r="I65" s="44" t="s">
        <v>118</v>
      </c>
      <c r="J65" s="652" t="s">
        <v>119</v>
      </c>
      <c r="K65" s="653"/>
    </row>
    <row r="66" spans="1:11" s="19" customFormat="1" ht="11.25" customHeight="1">
      <c r="A66" s="654" t="s">
        <v>120</v>
      </c>
      <c r="B66" s="655"/>
      <c r="C66" s="45">
        <v>1466.02</v>
      </c>
      <c r="D66" s="656">
        <v>1466.02</v>
      </c>
      <c r="E66" s="657"/>
      <c r="F66" s="654" t="s">
        <v>121</v>
      </c>
      <c r="G66" s="658"/>
      <c r="H66" s="655"/>
      <c r="I66" s="45">
        <v>2179.21</v>
      </c>
      <c r="J66" s="659">
        <v>2179.21</v>
      </c>
      <c r="K66" s="660"/>
    </row>
    <row r="67" spans="1:11" s="19" customFormat="1" ht="11.25" customHeight="1">
      <c r="A67" s="661" t="s">
        <v>122</v>
      </c>
      <c r="B67" s="662"/>
      <c r="C67" s="46">
        <v>1820.04</v>
      </c>
      <c r="D67" s="663">
        <v>1820.04</v>
      </c>
      <c r="E67" s="664"/>
      <c r="F67" s="661" t="s">
        <v>123</v>
      </c>
      <c r="G67" s="665"/>
      <c r="H67" s="662"/>
      <c r="I67" s="47">
        <v>151.66999999999999</v>
      </c>
      <c r="J67" s="666">
        <v>151.66999999999999</v>
      </c>
      <c r="K67" s="667"/>
    </row>
    <row r="68" spans="1:11" s="19" customFormat="1" ht="11.25" customHeight="1">
      <c r="A68" s="645" t="s">
        <v>124</v>
      </c>
      <c r="B68" s="646"/>
      <c r="C68" s="48">
        <v>343.44</v>
      </c>
      <c r="D68" s="647">
        <v>343.44</v>
      </c>
      <c r="E68" s="648"/>
      <c r="F68" s="645" t="s">
        <v>125</v>
      </c>
      <c r="G68" s="649"/>
      <c r="H68" s="646"/>
      <c r="I68" s="48">
        <v>7.33</v>
      </c>
      <c r="J68" s="650">
        <v>7.33</v>
      </c>
      <c r="K68" s="651"/>
    </row>
    <row r="69" spans="1:11" s="19" customFormat="1"/>
    <row r="70" spans="1:11" s="19" customFormat="1"/>
    <row r="71" spans="1:11" s="19" customFormat="1"/>
    <row r="72" spans="1:11" s="19" customFormat="1">
      <c r="A72" s="49" t="s">
        <v>126</v>
      </c>
      <c r="B72" s="50" t="s">
        <v>127</v>
      </c>
    </row>
  </sheetData>
  <mergeCells count="121">
    <mergeCell ref="B32:G32"/>
    <mergeCell ref="J32:K32"/>
    <mergeCell ref="A33:A61"/>
    <mergeCell ref="B33:D33"/>
    <mergeCell ref="E33:F33"/>
    <mergeCell ref="J33:K33"/>
    <mergeCell ref="B34:D34"/>
    <mergeCell ref="E34:F34"/>
    <mergeCell ref="J34:K34"/>
    <mergeCell ref="B35:D35"/>
    <mergeCell ref="A29:A32"/>
    <mergeCell ref="B29:D29"/>
    <mergeCell ref="E29:F29"/>
    <mergeCell ref="J29:K29"/>
    <mergeCell ref="B30:D30"/>
    <mergeCell ref="E30:F30"/>
    <mergeCell ref="J30:K30"/>
    <mergeCell ref="B31:D31"/>
    <mergeCell ref="E31:F31"/>
    <mergeCell ref="J31:K31"/>
    <mergeCell ref="B38:D38"/>
    <mergeCell ref="E38:F38"/>
    <mergeCell ref="J38:K38"/>
    <mergeCell ref="B39:D39"/>
    <mergeCell ref="B40:D40"/>
    <mergeCell ref="E40:F40"/>
    <mergeCell ref="J40:K40"/>
    <mergeCell ref="B41:D41"/>
    <mergeCell ref="E41:F41"/>
    <mergeCell ref="J41:K41"/>
    <mergeCell ref="E39:F39"/>
    <mergeCell ref="J39:K39"/>
    <mergeCell ref="E35:F35"/>
    <mergeCell ref="J35:K35"/>
    <mergeCell ref="B36:D36"/>
    <mergeCell ref="E36:F36"/>
    <mergeCell ref="J36:K36"/>
    <mergeCell ref="B37:D37"/>
    <mergeCell ref="E37:F37"/>
    <mergeCell ref="J37:K37"/>
    <mergeCell ref="B44:D44"/>
    <mergeCell ref="E44:F44"/>
    <mergeCell ref="J44:K44"/>
    <mergeCell ref="B45:D45"/>
    <mergeCell ref="E45:F45"/>
    <mergeCell ref="J45:K45"/>
    <mergeCell ref="B42:D42"/>
    <mergeCell ref="E42:F42"/>
    <mergeCell ref="J42:K42"/>
    <mergeCell ref="B43:D43"/>
    <mergeCell ref="E43:F43"/>
    <mergeCell ref="J43:K43"/>
    <mergeCell ref="B48:D48"/>
    <mergeCell ref="E48:F48"/>
    <mergeCell ref="J48:K48"/>
    <mergeCell ref="B49:D49"/>
    <mergeCell ref="E49:F49"/>
    <mergeCell ref="J49:K49"/>
    <mergeCell ref="B46:D46"/>
    <mergeCell ref="E46:F46"/>
    <mergeCell ref="J46:K46"/>
    <mergeCell ref="B47:D47"/>
    <mergeCell ref="E47:F47"/>
    <mergeCell ref="J47:K47"/>
    <mergeCell ref="B52:D52"/>
    <mergeCell ref="E52:F52"/>
    <mergeCell ref="J52:K52"/>
    <mergeCell ref="B53:D53"/>
    <mergeCell ref="E53:F53"/>
    <mergeCell ref="J53:K53"/>
    <mergeCell ref="B50:D50"/>
    <mergeCell ref="E50:F50"/>
    <mergeCell ref="J50:K50"/>
    <mergeCell ref="B51:D51"/>
    <mergeCell ref="E51:F51"/>
    <mergeCell ref="J51:K51"/>
    <mergeCell ref="B56:D56"/>
    <mergeCell ref="E56:F56"/>
    <mergeCell ref="J56:K56"/>
    <mergeCell ref="B57:D57"/>
    <mergeCell ref="E57:F57"/>
    <mergeCell ref="J57:K57"/>
    <mergeCell ref="B54:D54"/>
    <mergeCell ref="E54:F54"/>
    <mergeCell ref="J54:K54"/>
    <mergeCell ref="B55:D55"/>
    <mergeCell ref="E55:F55"/>
    <mergeCell ref="J55:K55"/>
    <mergeCell ref="J61:K61"/>
    <mergeCell ref="A62:H62"/>
    <mergeCell ref="I62:K62"/>
    <mergeCell ref="B58:D58"/>
    <mergeCell ref="E58:F58"/>
    <mergeCell ref="J58:K58"/>
    <mergeCell ref="B59:D59"/>
    <mergeCell ref="E59:F59"/>
    <mergeCell ref="J59:K59"/>
    <mergeCell ref="L58:M58"/>
    <mergeCell ref="A68:B68"/>
    <mergeCell ref="D68:E68"/>
    <mergeCell ref="F68:H68"/>
    <mergeCell ref="J68:K68"/>
    <mergeCell ref="J65:K65"/>
    <mergeCell ref="A66:B66"/>
    <mergeCell ref="D66:E66"/>
    <mergeCell ref="F66:H66"/>
    <mergeCell ref="J66:K66"/>
    <mergeCell ref="A67:B67"/>
    <mergeCell ref="D67:E67"/>
    <mergeCell ref="F67:H67"/>
    <mergeCell ref="J67:K67"/>
    <mergeCell ref="A63:D63"/>
    <mergeCell ref="E63:F63"/>
    <mergeCell ref="A64:G64"/>
    <mergeCell ref="A65:B65"/>
    <mergeCell ref="D65:E65"/>
    <mergeCell ref="F65:H65"/>
    <mergeCell ref="B60:D60"/>
    <mergeCell ref="E60:F60"/>
    <mergeCell ref="J60:K60"/>
    <mergeCell ref="B61:G61"/>
  </mergeCells>
  <hyperlinks>
    <hyperlink ref="B72" r:id="rId1" display="http://www.service-public.fr/"/>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
  <sheetViews>
    <sheetView topLeftCell="A205" zoomScale="55" zoomScaleNormal="55" workbookViewId="0">
      <selection activeCell="AC85" sqref="AC85"/>
    </sheetView>
  </sheetViews>
  <sheetFormatPr baseColWidth="10" defaultRowHeight="14.5"/>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O127"/>
  <sheetViews>
    <sheetView topLeftCell="A43" zoomScale="85" zoomScaleNormal="85" workbookViewId="0">
      <selection activeCell="I50" sqref="I50"/>
    </sheetView>
  </sheetViews>
  <sheetFormatPr baseColWidth="10" defaultRowHeight="14.5"/>
  <cols>
    <col min="3" max="3" width="16.1796875" customWidth="1"/>
    <col min="4" max="4" width="14" customWidth="1"/>
    <col min="5" max="5" width="13.26953125" customWidth="1"/>
    <col min="9" max="9" width="17.6328125" customWidth="1"/>
    <col min="10" max="10" width="27.90625" customWidth="1"/>
    <col min="11" max="11" width="12.453125" customWidth="1"/>
    <col min="12" max="12" width="34.6328125" customWidth="1"/>
    <col min="15" max="15" width="14" customWidth="1"/>
  </cols>
  <sheetData>
    <row r="1" spans="1:7" ht="20">
      <c r="A1" s="105" t="s">
        <v>247</v>
      </c>
      <c r="G1" s="107" t="s">
        <v>253</v>
      </c>
    </row>
    <row r="2" spans="1:7" ht="20">
      <c r="A2" s="105" t="s">
        <v>252</v>
      </c>
      <c r="G2" s="107" t="s">
        <v>254</v>
      </c>
    </row>
    <row r="3" spans="1:7">
      <c r="A3" s="106" t="s">
        <v>248</v>
      </c>
    </row>
    <row r="4" spans="1:7">
      <c r="A4" s="106" t="s">
        <v>249</v>
      </c>
    </row>
    <row r="5" spans="1:7">
      <c r="A5" s="106" t="s">
        <v>250</v>
      </c>
    </row>
    <row r="6" spans="1:7">
      <c r="A6" s="106" t="s">
        <v>251</v>
      </c>
    </row>
    <row r="7" spans="1:7" ht="20">
      <c r="A7" s="105" t="s">
        <v>255</v>
      </c>
      <c r="E7" s="107" t="s">
        <v>258</v>
      </c>
    </row>
    <row r="8" spans="1:7">
      <c r="A8" s="107" t="s">
        <v>256</v>
      </c>
    </row>
    <row r="9" spans="1:7">
      <c r="A9" s="107" t="s">
        <v>257</v>
      </c>
    </row>
    <row r="10" spans="1:7" ht="20">
      <c r="A10" s="105" t="s">
        <v>259</v>
      </c>
    </row>
    <row r="11" spans="1:7">
      <c r="A11" s="107" t="s">
        <v>260</v>
      </c>
    </row>
    <row r="12" spans="1:7" ht="20">
      <c r="A12" s="105" t="s">
        <v>261</v>
      </c>
    </row>
    <row r="13" spans="1:7" ht="16.5">
      <c r="A13" s="108" t="s">
        <v>262</v>
      </c>
    </row>
    <row r="14" spans="1:7">
      <c r="A14" s="107" t="s">
        <v>263</v>
      </c>
    </row>
    <row r="15" spans="1:7" ht="20">
      <c r="A15" s="105" t="s">
        <v>264</v>
      </c>
    </row>
    <row r="16" spans="1:7" ht="17.5">
      <c r="A16" s="109" t="s">
        <v>266</v>
      </c>
    </row>
    <row r="17" spans="1:7">
      <c r="A17" s="107" t="s">
        <v>265</v>
      </c>
    </row>
    <row r="18" spans="1:7" ht="17.5">
      <c r="A18" s="109" t="s">
        <v>267</v>
      </c>
    </row>
    <row r="19" spans="1:7">
      <c r="A19" s="107" t="s">
        <v>268</v>
      </c>
    </row>
    <row r="20" spans="1:7">
      <c r="A20" s="107" t="s">
        <v>269</v>
      </c>
    </row>
    <row r="21" spans="1:7" ht="17.5">
      <c r="A21" s="109" t="s">
        <v>270</v>
      </c>
    </row>
    <row r="22" spans="1:7" ht="17.5">
      <c r="A22" s="109" t="s">
        <v>271</v>
      </c>
    </row>
    <row r="23" spans="1:7" ht="17.5">
      <c r="A23" s="109" t="s">
        <v>272</v>
      </c>
    </row>
    <row r="24" spans="1:7">
      <c r="A24" s="107" t="s">
        <v>273</v>
      </c>
    </row>
    <row r="26" spans="1:7" ht="20">
      <c r="A26" s="105" t="s">
        <v>274</v>
      </c>
    </row>
    <row r="27" spans="1:7" ht="20">
      <c r="A27" s="105" t="s">
        <v>275</v>
      </c>
      <c r="G27" s="107" t="s">
        <v>291</v>
      </c>
    </row>
    <row r="28" spans="1:7" ht="22.5">
      <c r="A28" s="110" t="s">
        <v>276</v>
      </c>
      <c r="G28" s="107" t="s">
        <v>292</v>
      </c>
    </row>
    <row r="29" spans="1:7">
      <c r="A29" s="106" t="s">
        <v>277</v>
      </c>
    </row>
    <row r="30" spans="1:7">
      <c r="A30" s="106" t="s">
        <v>278</v>
      </c>
    </row>
    <row r="31" spans="1:7">
      <c r="A31" s="106" t="s">
        <v>279</v>
      </c>
    </row>
    <row r="32" spans="1:7" ht="15.5">
      <c r="A32" s="111" t="s">
        <v>280</v>
      </c>
    </row>
    <row r="33" spans="1:15">
      <c r="A33" s="107" t="s">
        <v>281</v>
      </c>
    </row>
    <row r="34" spans="1:15">
      <c r="A34" s="107" t="s">
        <v>282</v>
      </c>
    </row>
    <row r="35" spans="1:15">
      <c r="A35" s="107" t="s">
        <v>283</v>
      </c>
    </row>
    <row r="36" spans="1:15">
      <c r="A36" s="112" t="s">
        <v>284</v>
      </c>
    </row>
    <row r="37" spans="1:15">
      <c r="A37" s="112" t="s">
        <v>285</v>
      </c>
    </row>
    <row r="38" spans="1:15" ht="15.5">
      <c r="A38" s="111" t="s">
        <v>286</v>
      </c>
    </row>
    <row r="39" spans="1:15">
      <c r="A39" s="107" t="s">
        <v>287</v>
      </c>
    </row>
    <row r="40" spans="1:15">
      <c r="A40" s="107" t="s">
        <v>288</v>
      </c>
    </row>
    <row r="41" spans="1:15">
      <c r="A41" s="107" t="s">
        <v>289</v>
      </c>
    </row>
    <row r="42" spans="1:15" ht="17.5">
      <c r="A42" s="122" t="s">
        <v>290</v>
      </c>
    </row>
    <row r="43" spans="1:15" ht="15.5">
      <c r="A43" s="113" t="s">
        <v>293</v>
      </c>
    </row>
    <row r="44" spans="1:15">
      <c r="A44" s="112" t="s">
        <v>294</v>
      </c>
      <c r="D44" s="112" t="s">
        <v>299</v>
      </c>
      <c r="G44" s="107" t="s">
        <v>302</v>
      </c>
      <c r="J44" s="107" t="s">
        <v>304</v>
      </c>
      <c r="N44" s="107" t="s">
        <v>304</v>
      </c>
    </row>
    <row r="45" spans="1:15">
      <c r="A45" s="114" t="s">
        <v>295</v>
      </c>
      <c r="B45" s="114" t="s">
        <v>296</v>
      </c>
      <c r="D45" s="114" t="s">
        <v>295</v>
      </c>
      <c r="E45" s="114" t="s">
        <v>296</v>
      </c>
      <c r="G45" s="114" t="s">
        <v>295</v>
      </c>
      <c r="H45" s="114" t="s">
        <v>296</v>
      </c>
      <c r="J45" s="114" t="s">
        <v>295</v>
      </c>
      <c r="K45" s="114" t="s">
        <v>296</v>
      </c>
      <c r="N45" s="114" t="s">
        <v>295</v>
      </c>
      <c r="O45" s="114" t="s">
        <v>296</v>
      </c>
    </row>
    <row r="46" spans="1:15" ht="130">
      <c r="A46" s="114" t="s">
        <v>297</v>
      </c>
      <c r="B46" s="116" t="s">
        <v>298</v>
      </c>
      <c r="D46" s="114" t="s">
        <v>300</v>
      </c>
      <c r="E46" s="114" t="s">
        <v>301</v>
      </c>
      <c r="G46" s="114" t="s">
        <v>297</v>
      </c>
      <c r="H46" s="114" t="s">
        <v>303</v>
      </c>
      <c r="J46" s="114" t="s">
        <v>297</v>
      </c>
      <c r="K46" s="114" t="s">
        <v>305</v>
      </c>
      <c r="N46" s="114" t="s">
        <v>297</v>
      </c>
      <c r="O46" s="114" t="s">
        <v>305</v>
      </c>
    </row>
    <row r="47" spans="1:15">
      <c r="A47" s="118"/>
      <c r="B47" s="119"/>
      <c r="D47" s="118"/>
      <c r="E47" s="118"/>
      <c r="G47" s="118"/>
      <c r="H47" s="118"/>
      <c r="J47" s="118"/>
      <c r="K47" s="118"/>
      <c r="N47" s="118"/>
      <c r="O47" s="118"/>
    </row>
    <row r="48" spans="1:15">
      <c r="A48" s="107" t="s">
        <v>306</v>
      </c>
      <c r="D48" s="107" t="s">
        <v>308</v>
      </c>
      <c r="G48" s="107" t="s">
        <v>310</v>
      </c>
      <c r="J48" s="107" t="s">
        <v>312</v>
      </c>
      <c r="N48" s="118"/>
      <c r="O48" s="118"/>
    </row>
    <row r="49" spans="1:15">
      <c r="A49" s="114" t="s">
        <v>295</v>
      </c>
      <c r="B49" s="114" t="s">
        <v>296</v>
      </c>
      <c r="D49" s="114" t="s">
        <v>295</v>
      </c>
      <c r="E49" s="114" t="s">
        <v>296</v>
      </c>
      <c r="G49" s="114" t="s">
        <v>295</v>
      </c>
      <c r="H49" s="114" t="s">
        <v>296</v>
      </c>
      <c r="J49" s="114" t="s">
        <v>295</v>
      </c>
      <c r="K49" s="114" t="s">
        <v>296</v>
      </c>
      <c r="N49" s="118"/>
      <c r="O49" s="118"/>
    </row>
    <row r="50" spans="1:15" ht="121.25" customHeight="1">
      <c r="A50" s="114" t="s">
        <v>297</v>
      </c>
      <c r="B50" s="114" t="s">
        <v>307</v>
      </c>
      <c r="D50" s="114" t="s">
        <v>300</v>
      </c>
      <c r="E50" s="114" t="s">
        <v>309</v>
      </c>
      <c r="G50" s="114" t="s">
        <v>297</v>
      </c>
      <c r="H50" s="114" t="s">
        <v>311</v>
      </c>
      <c r="J50" s="114" t="s">
        <v>300</v>
      </c>
      <c r="K50" s="114" t="s">
        <v>313</v>
      </c>
      <c r="N50" s="118"/>
      <c r="O50" s="118"/>
    </row>
    <row r="51" spans="1:15">
      <c r="A51" s="118"/>
      <c r="B51" s="119"/>
      <c r="D51" s="118"/>
      <c r="E51" s="118"/>
      <c r="G51" s="118"/>
      <c r="H51" s="118"/>
      <c r="J51" s="118"/>
      <c r="K51" s="118"/>
      <c r="N51" s="118"/>
      <c r="O51" s="118"/>
    </row>
    <row r="52" spans="1:15">
      <c r="A52" s="117" t="s">
        <v>314</v>
      </c>
    </row>
    <row r="53" spans="1:15">
      <c r="A53" t="s">
        <v>346</v>
      </c>
      <c r="D53" s="120" t="s">
        <v>315</v>
      </c>
      <c r="E53" s="76" t="s">
        <v>316</v>
      </c>
      <c r="G53" t="s">
        <v>317</v>
      </c>
      <c r="I53" s="102">
        <f>35*52/12</f>
        <v>151.66666666666666</v>
      </c>
      <c r="J53" t="s">
        <v>324</v>
      </c>
    </row>
    <row r="54" spans="1:15">
      <c r="A54" t="s">
        <v>333</v>
      </c>
      <c r="D54" s="120" t="s">
        <v>315</v>
      </c>
      <c r="E54" s="76" t="s">
        <v>318</v>
      </c>
      <c r="G54" s="120" t="s">
        <v>323</v>
      </c>
      <c r="J54" t="s">
        <v>324</v>
      </c>
    </row>
    <row r="55" spans="1:15">
      <c r="A55" t="s">
        <v>334</v>
      </c>
      <c r="D55" s="120" t="s">
        <v>315</v>
      </c>
      <c r="E55" s="76" t="s">
        <v>319</v>
      </c>
      <c r="G55" s="76" t="s">
        <v>320</v>
      </c>
    </row>
    <row r="56" spans="1:15">
      <c r="A56" t="s">
        <v>335</v>
      </c>
      <c r="D56" s="120" t="s">
        <v>315</v>
      </c>
      <c r="E56" s="76" t="s">
        <v>321</v>
      </c>
      <c r="G56" s="76" t="s">
        <v>322</v>
      </c>
      <c r="J56" s="107" t="s">
        <v>304</v>
      </c>
    </row>
    <row r="57" spans="1:15" ht="12.65" customHeight="1">
      <c r="A57" t="s">
        <v>336</v>
      </c>
      <c r="D57" s="120" t="s">
        <v>315</v>
      </c>
      <c r="E57" s="76" t="s">
        <v>325</v>
      </c>
      <c r="G57" s="76" t="s">
        <v>326</v>
      </c>
    </row>
    <row r="58" spans="1:15">
      <c r="A58" t="s">
        <v>337</v>
      </c>
      <c r="D58" s="120" t="s">
        <v>315</v>
      </c>
      <c r="E58" s="76" t="s">
        <v>327</v>
      </c>
      <c r="G58" s="76" t="s">
        <v>328</v>
      </c>
      <c r="J58" s="107" t="s">
        <v>308</v>
      </c>
    </row>
    <row r="59" spans="1:15" ht="12.65" customHeight="1">
      <c r="A59" t="s">
        <v>338</v>
      </c>
      <c r="D59" s="120" t="s">
        <v>315</v>
      </c>
      <c r="E59" s="76" t="s">
        <v>329</v>
      </c>
      <c r="G59" s="76" t="s">
        <v>330</v>
      </c>
    </row>
    <row r="60" spans="1:15">
      <c r="A60" t="s">
        <v>339</v>
      </c>
      <c r="D60" s="120" t="s">
        <v>315</v>
      </c>
      <c r="E60" s="76" t="s">
        <v>331</v>
      </c>
      <c r="G60" s="76" t="s">
        <v>332</v>
      </c>
      <c r="J60" s="107"/>
    </row>
    <row r="61" spans="1:15">
      <c r="A61" s="107" t="s">
        <v>340</v>
      </c>
      <c r="D61" s="120"/>
      <c r="E61" s="76"/>
      <c r="G61" s="115" t="s">
        <v>341</v>
      </c>
      <c r="J61" s="114" t="s">
        <v>295</v>
      </c>
      <c r="K61" s="114" t="s">
        <v>296</v>
      </c>
    </row>
    <row r="62" spans="1:15" ht="213.65" customHeight="1">
      <c r="A62" s="107"/>
      <c r="D62" s="120"/>
      <c r="E62" s="76"/>
      <c r="G62" s="76"/>
      <c r="J62" s="114" t="s">
        <v>342</v>
      </c>
      <c r="K62" s="114" t="s">
        <v>343</v>
      </c>
    </row>
    <row r="64" spans="1:15">
      <c r="A64" s="107" t="s">
        <v>344</v>
      </c>
      <c r="D64" s="120"/>
      <c r="E64" s="76"/>
      <c r="G64" s="115" t="s">
        <v>341</v>
      </c>
      <c r="J64" s="114" t="s">
        <v>295</v>
      </c>
      <c r="K64" s="114" t="s">
        <v>296</v>
      </c>
    </row>
    <row r="65" spans="1:11" ht="208">
      <c r="A65" s="107"/>
      <c r="D65" s="120"/>
      <c r="E65" s="76"/>
      <c r="G65" s="121"/>
      <c r="J65" s="114" t="s">
        <v>342</v>
      </c>
      <c r="K65" s="114" t="s">
        <v>345</v>
      </c>
    </row>
    <row r="66" spans="1:11">
      <c r="A66" s="107"/>
      <c r="D66" s="120"/>
      <c r="E66" s="76"/>
      <c r="G66" s="121"/>
      <c r="J66" s="118"/>
      <c r="K66" s="118"/>
    </row>
    <row r="67" spans="1:11">
      <c r="A67" s="107"/>
      <c r="D67" s="120"/>
      <c r="E67" s="76"/>
      <c r="G67" s="121"/>
      <c r="J67" s="118"/>
      <c r="K67" s="118"/>
    </row>
    <row r="68" spans="1:11" ht="20">
      <c r="A68" s="105" t="s">
        <v>347</v>
      </c>
    </row>
    <row r="69" spans="1:11">
      <c r="A69" s="106" t="s">
        <v>348</v>
      </c>
    </row>
    <row r="70" spans="1:11">
      <c r="A70" s="106" t="s">
        <v>349</v>
      </c>
    </row>
    <row r="71" spans="1:11">
      <c r="A71" s="106" t="s">
        <v>278</v>
      </c>
    </row>
    <row r="72" spans="1:11">
      <c r="A72" s="106" t="s">
        <v>350</v>
      </c>
    </row>
    <row r="73" spans="1:11">
      <c r="A73" s="106" t="s">
        <v>351</v>
      </c>
    </row>
    <row r="74" spans="1:11">
      <c r="A74" s="106" t="s">
        <v>352</v>
      </c>
    </row>
    <row r="75" spans="1:11">
      <c r="A75" s="106" t="s">
        <v>353</v>
      </c>
    </row>
    <row r="77" spans="1:11">
      <c r="A77" s="107" t="s">
        <v>354</v>
      </c>
    </row>
    <row r="78" spans="1:11" ht="15.5">
      <c r="A78" s="111" t="s">
        <v>355</v>
      </c>
    </row>
    <row r="79" spans="1:11">
      <c r="A79" s="107" t="s">
        <v>356</v>
      </c>
    </row>
    <row r="80" spans="1:11">
      <c r="A80" s="107" t="s">
        <v>357</v>
      </c>
    </row>
    <row r="81" spans="1:12" ht="15.5">
      <c r="A81" s="111" t="s">
        <v>286</v>
      </c>
    </row>
    <row r="82" spans="1:12">
      <c r="A82" s="107" t="s">
        <v>358</v>
      </c>
    </row>
    <row r="83" spans="1:12">
      <c r="A83" s="107" t="s">
        <v>359</v>
      </c>
    </row>
    <row r="84" spans="1:12">
      <c r="A84" s="107" t="s">
        <v>360</v>
      </c>
    </row>
    <row r="85" spans="1:12">
      <c r="A85" s="107" t="s">
        <v>361</v>
      </c>
    </row>
    <row r="86" spans="1:12">
      <c r="A86" s="107" t="s">
        <v>362</v>
      </c>
    </row>
    <row r="87" spans="1:12">
      <c r="A87" s="107" t="s">
        <v>363</v>
      </c>
      <c r="D87" s="107" t="s">
        <v>291</v>
      </c>
    </row>
    <row r="88" spans="1:12" ht="17.5">
      <c r="A88" s="122" t="s">
        <v>290</v>
      </c>
      <c r="D88" s="107" t="s">
        <v>366</v>
      </c>
    </row>
    <row r="89" spans="1:12">
      <c r="A89" s="107" t="s">
        <v>364</v>
      </c>
      <c r="D89" s="107" t="s">
        <v>369</v>
      </c>
      <c r="I89" s="107" t="s">
        <v>375</v>
      </c>
      <c r="K89" s="107" t="s">
        <v>377</v>
      </c>
    </row>
    <row r="90" spans="1:12">
      <c r="A90" s="114" t="s">
        <v>295</v>
      </c>
      <c r="B90" s="114" t="s">
        <v>296</v>
      </c>
      <c r="D90" s="114" t="s">
        <v>295</v>
      </c>
      <c r="E90" s="114" t="s">
        <v>296</v>
      </c>
      <c r="F90" s="114" t="s">
        <v>372</v>
      </c>
      <c r="G90" s="114" t="s">
        <v>296</v>
      </c>
      <c r="I90" s="114" t="s">
        <v>295</v>
      </c>
      <c r="J90" s="114" t="s">
        <v>296</v>
      </c>
      <c r="K90" s="114" t="s">
        <v>295</v>
      </c>
      <c r="L90" s="114" t="s">
        <v>296</v>
      </c>
    </row>
    <row r="91" spans="1:12" ht="91">
      <c r="A91" s="114" t="s">
        <v>297</v>
      </c>
      <c r="B91" s="114" t="s">
        <v>365</v>
      </c>
      <c r="D91" s="114" t="s">
        <v>297</v>
      </c>
      <c r="E91" s="114" t="s">
        <v>370</v>
      </c>
      <c r="F91" s="114" t="s">
        <v>297</v>
      </c>
      <c r="G91" s="114" t="s">
        <v>373</v>
      </c>
      <c r="I91" s="114" t="s">
        <v>297</v>
      </c>
      <c r="J91" s="114" t="s">
        <v>376</v>
      </c>
      <c r="K91" s="114" t="s">
        <v>300</v>
      </c>
      <c r="L91" s="114" t="s">
        <v>378</v>
      </c>
    </row>
    <row r="92" spans="1:12">
      <c r="A92" s="107" t="s">
        <v>367</v>
      </c>
      <c r="D92" s="107" t="s">
        <v>367</v>
      </c>
      <c r="G92" s="107" t="s">
        <v>374</v>
      </c>
      <c r="K92" s="107" t="s">
        <v>379</v>
      </c>
    </row>
    <row r="93" spans="1:12">
      <c r="A93" s="114" t="s">
        <v>295</v>
      </c>
      <c r="B93" s="114" t="s">
        <v>296</v>
      </c>
      <c r="D93" s="114" t="s">
        <v>295</v>
      </c>
      <c r="E93" s="114" t="s">
        <v>296</v>
      </c>
      <c r="G93" s="114" t="s">
        <v>295</v>
      </c>
      <c r="H93" s="114" t="s">
        <v>296</v>
      </c>
      <c r="K93" s="114" t="s">
        <v>295</v>
      </c>
      <c r="L93" s="114" t="s">
        <v>296</v>
      </c>
    </row>
    <row r="94" spans="1:12" ht="143">
      <c r="A94" s="114" t="s">
        <v>300</v>
      </c>
      <c r="B94" s="114" t="s">
        <v>368</v>
      </c>
      <c r="D94" s="114" t="s">
        <v>300</v>
      </c>
      <c r="E94" s="114" t="s">
        <v>371</v>
      </c>
      <c r="G94" s="114" t="s">
        <v>297</v>
      </c>
      <c r="H94" s="114" t="s">
        <v>373</v>
      </c>
      <c r="K94" s="114" t="s">
        <v>300</v>
      </c>
      <c r="L94" s="114" t="s">
        <v>380</v>
      </c>
    </row>
    <row r="96" spans="1:12">
      <c r="A96" s="117" t="s">
        <v>314</v>
      </c>
    </row>
    <row r="97" spans="1:10">
      <c r="A97" t="s">
        <v>346</v>
      </c>
      <c r="D97" s="120" t="s">
        <v>315</v>
      </c>
      <c r="E97" s="76" t="s">
        <v>316</v>
      </c>
      <c r="G97" t="s">
        <v>317</v>
      </c>
      <c r="I97" s="102">
        <f>35*52/12</f>
        <v>151.66666666666666</v>
      </c>
      <c r="J97" t="s">
        <v>324</v>
      </c>
    </row>
    <row r="98" spans="1:10">
      <c r="A98" t="s">
        <v>333</v>
      </c>
      <c r="D98" s="120" t="s">
        <v>315</v>
      </c>
      <c r="E98" s="76" t="s">
        <v>318</v>
      </c>
      <c r="G98" s="120" t="s">
        <v>323</v>
      </c>
      <c r="J98" t="s">
        <v>324</v>
      </c>
    </row>
    <row r="99" spans="1:10">
      <c r="A99" t="s">
        <v>334</v>
      </c>
      <c r="D99" s="120" t="s">
        <v>315</v>
      </c>
      <c r="E99" s="76" t="s">
        <v>319</v>
      </c>
      <c r="G99" s="76" t="s">
        <v>320</v>
      </c>
    </row>
    <row r="100" spans="1:10">
      <c r="A100" t="s">
        <v>335</v>
      </c>
      <c r="D100" s="120" t="s">
        <v>315</v>
      </c>
      <c r="E100" s="76" t="s">
        <v>321</v>
      </c>
      <c r="G100" s="76" t="s">
        <v>322</v>
      </c>
      <c r="J100" s="107" t="s">
        <v>304</v>
      </c>
    </row>
    <row r="101" spans="1:10" ht="12.65" customHeight="1">
      <c r="A101" t="s">
        <v>336</v>
      </c>
      <c r="D101" s="120" t="s">
        <v>315</v>
      </c>
      <c r="E101" s="76" t="s">
        <v>325</v>
      </c>
      <c r="G101" s="76" t="s">
        <v>326</v>
      </c>
    </row>
    <row r="102" spans="1:10">
      <c r="A102" t="s">
        <v>337</v>
      </c>
      <c r="D102" s="120" t="s">
        <v>315</v>
      </c>
      <c r="E102" s="76" t="s">
        <v>327</v>
      </c>
      <c r="G102" s="76" t="s">
        <v>328</v>
      </c>
      <c r="J102" s="107" t="s">
        <v>308</v>
      </c>
    </row>
    <row r="103" spans="1:10" ht="12.65" customHeight="1">
      <c r="A103" t="s">
        <v>338</v>
      </c>
      <c r="D103" s="120" t="s">
        <v>315</v>
      </c>
      <c r="E103" s="76" t="s">
        <v>329</v>
      </c>
      <c r="G103" s="76" t="s">
        <v>330</v>
      </c>
    </row>
    <row r="104" spans="1:10">
      <c r="A104" t="s">
        <v>339</v>
      </c>
      <c r="D104" s="120" t="s">
        <v>315</v>
      </c>
      <c r="E104" s="76" t="s">
        <v>331</v>
      </c>
      <c r="G104" s="76" t="s">
        <v>332</v>
      </c>
      <c r="J104" s="107"/>
    </row>
    <row r="105" spans="1:10" ht="20">
      <c r="A105" s="105" t="s">
        <v>386</v>
      </c>
    </row>
    <row r="106" spans="1:10" ht="17.5">
      <c r="A106" s="109" t="s">
        <v>381</v>
      </c>
    </row>
    <row r="107" spans="1:10">
      <c r="A107" s="107" t="s">
        <v>382</v>
      </c>
    </row>
    <row r="108" spans="1:10">
      <c r="A108" s="107" t="s">
        <v>383</v>
      </c>
    </row>
    <row r="109" spans="1:10">
      <c r="A109" s="107" t="s">
        <v>384</v>
      </c>
    </row>
    <row r="110" spans="1:10">
      <c r="A110" s="107" t="s">
        <v>385</v>
      </c>
    </row>
    <row r="112" spans="1:10" ht="15.5">
      <c r="A112" s="111" t="s">
        <v>387</v>
      </c>
    </row>
    <row r="113" spans="1:5">
      <c r="A113" s="107" t="s">
        <v>388</v>
      </c>
    </row>
    <row r="114" spans="1:5">
      <c r="A114" s="107" t="s">
        <v>389</v>
      </c>
    </row>
    <row r="115" spans="1:5">
      <c r="A115" s="107" t="s">
        <v>390</v>
      </c>
    </row>
    <row r="116" spans="1:5" ht="15.5">
      <c r="A116" s="111" t="s">
        <v>280</v>
      </c>
    </row>
    <row r="117" spans="1:5">
      <c r="A117" s="107" t="s">
        <v>391</v>
      </c>
    </row>
    <row r="118" spans="1:5">
      <c r="A118" s="107" t="s">
        <v>392</v>
      </c>
    </row>
    <row r="119" spans="1:5">
      <c r="A119" s="107" t="s">
        <v>393</v>
      </c>
    </row>
    <row r="120" spans="1:5" ht="15.5">
      <c r="A120" s="111" t="s">
        <v>286</v>
      </c>
    </row>
    <row r="121" spans="1:5">
      <c r="A121" s="107" t="s">
        <v>394</v>
      </c>
    </row>
    <row r="122" spans="1:5">
      <c r="A122" s="107" t="s">
        <v>395</v>
      </c>
    </row>
    <row r="123" spans="1:5">
      <c r="A123" s="107" t="s">
        <v>396</v>
      </c>
    </row>
    <row r="124" spans="1:5" ht="17.5">
      <c r="A124" s="109" t="s">
        <v>290</v>
      </c>
      <c r="E124" s="107" t="s">
        <v>397</v>
      </c>
    </row>
    <row r="125" spans="1:5">
      <c r="E125" s="107" t="s">
        <v>398</v>
      </c>
    </row>
    <row r="126" spans="1:5">
      <c r="A126" s="107" t="s">
        <v>399</v>
      </c>
    </row>
    <row r="127" spans="1:5">
      <c r="A127" s="10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4" workbookViewId="0">
      <selection activeCell="D10" sqref="D10"/>
    </sheetView>
  </sheetViews>
  <sheetFormatPr baseColWidth="10" defaultRowHeight="14.5"/>
  <cols>
    <col min="1" max="1" width="40.08984375" customWidth="1"/>
  </cols>
  <sheetData>
    <row r="1" spans="1:2">
      <c r="A1" s="398" t="s">
        <v>412</v>
      </c>
      <c r="B1" s="404">
        <v>3586.59</v>
      </c>
    </row>
    <row r="2" spans="1:2">
      <c r="A2" s="398" t="s">
        <v>946</v>
      </c>
      <c r="B2" s="404">
        <f>45%*B1</f>
        <v>1613.9655</v>
      </c>
    </row>
    <row r="3" spans="1:2">
      <c r="A3" s="399" t="s">
        <v>947</v>
      </c>
      <c r="B3" s="404">
        <f>+B1+B2</f>
        <v>5200.5555000000004</v>
      </c>
    </row>
    <row r="4" spans="1:2">
      <c r="A4" s="402" t="s">
        <v>948</v>
      </c>
      <c r="B4" s="407">
        <v>3586.59</v>
      </c>
    </row>
    <row r="5" spans="1:2" ht="50" customHeight="1">
      <c r="A5" s="400" t="s">
        <v>949</v>
      </c>
      <c r="B5" s="405"/>
    </row>
    <row r="6" spans="1:2">
      <c r="A6" s="400" t="s">
        <v>950</v>
      </c>
      <c r="B6" s="405">
        <v>707.51</v>
      </c>
    </row>
    <row r="7" spans="1:2">
      <c r="A7" s="400" t="s">
        <v>951</v>
      </c>
      <c r="B7" s="405"/>
    </row>
    <row r="8" spans="1:2">
      <c r="A8" s="401" t="s">
        <v>952</v>
      </c>
      <c r="B8" s="406"/>
    </row>
    <row r="9" spans="1:2" ht="72.5">
      <c r="A9" s="401" t="s">
        <v>953</v>
      </c>
      <c r="B9" s="406"/>
    </row>
    <row r="10" spans="1:2" ht="29">
      <c r="A10" s="401" t="s">
        <v>954</v>
      </c>
      <c r="B10" s="406"/>
    </row>
    <row r="11" spans="1:2">
      <c r="A11" s="402" t="s">
        <v>955</v>
      </c>
      <c r="B11" s="407">
        <f>+B4-B6</f>
        <v>2879.08</v>
      </c>
    </row>
    <row r="12" spans="1:2">
      <c r="A12" s="403" t="s">
        <v>22</v>
      </c>
      <c r="B12" s="363"/>
    </row>
    <row r="13" spans="1:2">
      <c r="A13" s="400" t="s">
        <v>956</v>
      </c>
      <c r="B13" s="405">
        <f>B11*9.9%</f>
        <v>285.02892000000003</v>
      </c>
    </row>
    <row r="14" spans="1:2">
      <c r="A14" s="400" t="s">
        <v>957</v>
      </c>
      <c r="B14" s="405">
        <f>85.2+17.75</f>
        <v>102.95</v>
      </c>
    </row>
    <row r="15" spans="1:2">
      <c r="A15" s="400" t="s">
        <v>958</v>
      </c>
      <c r="B15" s="405"/>
    </row>
    <row r="16" spans="1:2" ht="29">
      <c r="A16" s="401" t="s">
        <v>959</v>
      </c>
      <c r="B16" s="406"/>
    </row>
    <row r="17" spans="1:2">
      <c r="A17" s="402" t="s">
        <v>960</v>
      </c>
      <c r="B17" s="407">
        <f>B11-B13-B14</f>
        <v>2491.1010799999999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57" workbookViewId="0">
      <selection activeCell="C72" sqref="C72"/>
    </sheetView>
  </sheetViews>
  <sheetFormatPr baseColWidth="10" defaultRowHeight="14.5"/>
  <cols>
    <col min="1" max="1" width="59.81640625" customWidth="1"/>
    <col min="2" max="2" width="19.08984375" customWidth="1"/>
    <col min="3" max="3" width="12.453125" customWidth="1"/>
    <col min="4" max="4" width="14.08984375" style="102" bestFit="1" customWidth="1"/>
    <col min="5" max="5" width="19.08984375" customWidth="1"/>
    <col min="6" max="6" width="12.08984375" bestFit="1" customWidth="1"/>
  </cols>
  <sheetData>
    <row r="1" spans="1:2" ht="15.5">
      <c r="A1" s="463" t="s">
        <v>1103</v>
      </c>
      <c r="B1" s="76"/>
    </row>
    <row r="2" spans="1:2">
      <c r="A2" s="464" t="s">
        <v>1104</v>
      </c>
      <c r="B2" s="76"/>
    </row>
    <row r="3" spans="1:2">
      <c r="A3" s="464" t="s">
        <v>1105</v>
      </c>
      <c r="B3" s="76"/>
    </row>
    <row r="4" spans="1:2">
      <c r="A4" s="464" t="s">
        <v>1106</v>
      </c>
      <c r="B4" s="76"/>
    </row>
    <row r="5" spans="1:2">
      <c r="A5" s="464" t="s">
        <v>1107</v>
      </c>
      <c r="B5" s="76"/>
    </row>
    <row r="6" spans="1:2">
      <c r="A6" s="464" t="s">
        <v>1108</v>
      </c>
      <c r="B6" s="76"/>
    </row>
    <row r="7" spans="1:2">
      <c r="A7" s="464" t="s">
        <v>1109</v>
      </c>
      <c r="B7" s="76"/>
    </row>
    <row r="8" spans="1:2">
      <c r="A8" s="464" t="s">
        <v>1110</v>
      </c>
      <c r="B8" s="76"/>
    </row>
    <row r="9" spans="1:2">
      <c r="A9" s="464" t="s">
        <v>1111</v>
      </c>
      <c r="B9" s="76"/>
    </row>
    <row r="10" spans="1:2">
      <c r="A10" s="465" t="s">
        <v>1112</v>
      </c>
      <c r="B10" s="76"/>
    </row>
    <row r="11" spans="1:2" ht="15.5">
      <c r="A11" s="463" t="s">
        <v>1113</v>
      </c>
      <c r="B11" s="76"/>
    </row>
    <row r="12" spans="1:2">
      <c r="A12" s="464" t="s">
        <v>1114</v>
      </c>
      <c r="B12" s="76"/>
    </row>
    <row r="13" spans="1:2">
      <c r="A13" s="464" t="s">
        <v>1115</v>
      </c>
      <c r="B13" s="76"/>
    </row>
    <row r="14" spans="1:2">
      <c r="A14" s="465" t="s">
        <v>1116</v>
      </c>
      <c r="B14" s="76"/>
    </row>
    <row r="15" spans="1:2" ht="15.5">
      <c r="A15" s="463" t="s">
        <v>1117</v>
      </c>
      <c r="B15" s="76"/>
    </row>
    <row r="16" spans="1:2">
      <c r="A16" s="470" t="s">
        <v>1118</v>
      </c>
      <c r="B16" s="76"/>
    </row>
    <row r="17" spans="1:3">
      <c r="A17" s="471" t="s">
        <v>1127</v>
      </c>
      <c r="B17" s="467">
        <v>110</v>
      </c>
      <c r="C17" s="467">
        <v>110</v>
      </c>
    </row>
    <row r="18" spans="1:3">
      <c r="A18" s="471" t="s">
        <v>1128</v>
      </c>
      <c r="B18" s="467">
        <v>15500</v>
      </c>
    </row>
    <row r="19" spans="1:3">
      <c r="A19" s="466" t="s">
        <v>1119</v>
      </c>
      <c r="B19" s="467">
        <f>+B17*B18</f>
        <v>1705000</v>
      </c>
      <c r="C19" s="467">
        <v>1596500</v>
      </c>
    </row>
    <row r="20" spans="1:3">
      <c r="A20" s="466" t="s">
        <v>1120</v>
      </c>
      <c r="B20" s="467">
        <f>15%*B19</f>
        <v>255750</v>
      </c>
      <c r="C20" s="467">
        <f>15%*C19</f>
        <v>239475</v>
      </c>
    </row>
    <row r="21" spans="1:3">
      <c r="A21" s="466" t="s">
        <v>1121</v>
      </c>
      <c r="B21" s="468">
        <v>1.032</v>
      </c>
      <c r="C21" s="469">
        <v>1.032</v>
      </c>
    </row>
    <row r="22" spans="1:3">
      <c r="A22" s="466" t="s">
        <v>1122</v>
      </c>
      <c r="B22" s="467">
        <f>(B19+B20)*B21</f>
        <v>2023494</v>
      </c>
      <c r="C22" s="467">
        <f>(C19+C20)*C21</f>
        <v>1894726.2</v>
      </c>
    </row>
    <row r="23" spans="1:3">
      <c r="A23" s="466" t="s">
        <v>1123</v>
      </c>
      <c r="B23" s="467">
        <f>B17*21000</f>
        <v>2310000</v>
      </c>
      <c r="C23" s="467">
        <f>C17*21000</f>
        <v>2310000</v>
      </c>
    </row>
    <row r="24" spans="1:3">
      <c r="A24" s="466" t="s">
        <v>1124</v>
      </c>
      <c r="B24" s="467">
        <f>+B23-B22</f>
        <v>286506</v>
      </c>
      <c r="C24" s="467">
        <f>+C23-C22</f>
        <v>415273.80000000005</v>
      </c>
    </row>
    <row r="25" spans="1:3">
      <c r="A25" s="466" t="s">
        <v>1125</v>
      </c>
      <c r="B25" s="467">
        <f>20%*B24</f>
        <v>57301.200000000004</v>
      </c>
      <c r="C25" s="467">
        <f>20%*C24</f>
        <v>83054.760000000009</v>
      </c>
    </row>
    <row r="26" spans="1:3">
      <c r="A26" s="466" t="s">
        <v>1129</v>
      </c>
      <c r="B26" s="467">
        <f>3%*B23</f>
        <v>69300</v>
      </c>
      <c r="C26" s="467">
        <f>3%*C23</f>
        <v>69300</v>
      </c>
    </row>
    <row r="27" spans="1:3">
      <c r="A27" s="472" t="s">
        <v>1126</v>
      </c>
      <c r="B27" s="103">
        <f>MAX(B26,B25)</f>
        <v>69300</v>
      </c>
      <c r="C27" s="103">
        <f>MAX(C26,C25)</f>
        <v>83054.760000000009</v>
      </c>
    </row>
    <row r="29" spans="1:3" ht="16" thickBot="1">
      <c r="A29" s="463" t="s">
        <v>1117</v>
      </c>
    </row>
    <row r="30" spans="1:3">
      <c r="A30" s="473" t="s">
        <v>1159</v>
      </c>
      <c r="B30" s="475"/>
      <c r="C30" s="475"/>
    </row>
    <row r="31" spans="1:3">
      <c r="A31" s="474" t="s">
        <v>1130</v>
      </c>
      <c r="B31" s="476"/>
      <c r="C31" s="476"/>
    </row>
    <row r="32" spans="1:3">
      <c r="A32" s="474" t="s">
        <v>1131</v>
      </c>
      <c r="B32" s="476"/>
      <c r="C32" s="476"/>
    </row>
    <row r="33" spans="1:3">
      <c r="A33" s="474" t="s">
        <v>1132</v>
      </c>
      <c r="B33" s="476"/>
      <c r="C33" s="476"/>
    </row>
    <row r="34" spans="1:3">
      <c r="A34" s="474" t="s">
        <v>1133</v>
      </c>
      <c r="B34" s="476"/>
      <c r="C34" s="476"/>
    </row>
    <row r="35" spans="1:3">
      <c r="A35" s="474" t="s">
        <v>1134</v>
      </c>
      <c r="B35" s="476"/>
      <c r="C35" s="476"/>
    </row>
    <row r="36" spans="1:3">
      <c r="A36" s="474" t="s">
        <v>1135</v>
      </c>
      <c r="B36" s="476"/>
      <c r="C36" s="476"/>
    </row>
    <row r="37" spans="1:3">
      <c r="A37" s="477" t="s">
        <v>1136</v>
      </c>
      <c r="B37" s="477" t="s">
        <v>1137</v>
      </c>
      <c r="C37" s="477" t="s">
        <v>1138</v>
      </c>
    </row>
    <row r="38" spans="1:3">
      <c r="A38" s="477" t="s">
        <v>1127</v>
      </c>
      <c r="B38" s="478">
        <v>84</v>
      </c>
      <c r="C38" s="477"/>
    </row>
    <row r="39" spans="1:3">
      <c r="A39" s="477" t="s">
        <v>1161</v>
      </c>
      <c r="B39" s="478">
        <v>10000</v>
      </c>
      <c r="C39" s="477"/>
    </row>
    <row r="40" spans="1:3">
      <c r="A40" s="479" t="s">
        <v>1139</v>
      </c>
      <c r="B40" s="480">
        <f>B38*B39</f>
        <v>840000</v>
      </c>
      <c r="C40" s="479"/>
    </row>
    <row r="41" spans="1:3">
      <c r="A41" s="477" t="s">
        <v>1140</v>
      </c>
      <c r="B41" s="478">
        <f>3%*B40</f>
        <v>25200</v>
      </c>
      <c r="C41" s="477"/>
    </row>
    <row r="42" spans="1:3">
      <c r="A42" s="477" t="s">
        <v>1141</v>
      </c>
      <c r="B42" s="478">
        <f>3%*B40</f>
        <v>25200</v>
      </c>
      <c r="C42" s="477"/>
    </row>
    <row r="43" spans="1:3">
      <c r="A43" s="477" t="s">
        <v>1142</v>
      </c>
      <c r="B43" s="478">
        <f>1%*B40</f>
        <v>8400</v>
      </c>
      <c r="C43" s="477"/>
    </row>
    <row r="44" spans="1:3">
      <c r="A44" s="477" t="s">
        <v>1143</v>
      </c>
      <c r="B44" s="478">
        <f>0.5%*B40</f>
        <v>4200</v>
      </c>
      <c r="C44" s="477"/>
    </row>
    <row r="45" spans="1:3">
      <c r="A45" s="477" t="s">
        <v>1144</v>
      </c>
      <c r="B45" s="478">
        <f>1%*B40</f>
        <v>8400</v>
      </c>
      <c r="C45" s="477"/>
    </row>
    <row r="46" spans="1:3">
      <c r="A46" s="477" t="s">
        <v>1145</v>
      </c>
      <c r="B46" s="478">
        <v>3000</v>
      </c>
      <c r="C46" s="477"/>
    </row>
    <row r="47" spans="1:3">
      <c r="A47" s="477" t="s">
        <v>1146</v>
      </c>
      <c r="B47" s="478">
        <f>SUM(B41:B46)</f>
        <v>74400</v>
      </c>
      <c r="C47" s="477"/>
    </row>
    <row r="48" spans="1:3">
      <c r="A48" s="477" t="s">
        <v>1147</v>
      </c>
      <c r="B48" s="478">
        <f>15%*B40</f>
        <v>126000</v>
      </c>
      <c r="C48" s="477"/>
    </row>
    <row r="49" spans="1:3">
      <c r="A49" s="479" t="s">
        <v>1148</v>
      </c>
      <c r="B49" s="480">
        <f>B40+MAX(B47,B48)</f>
        <v>966000</v>
      </c>
      <c r="C49" s="479"/>
    </row>
    <row r="50" spans="1:3">
      <c r="A50" s="477" t="s">
        <v>1149</v>
      </c>
      <c r="B50" s="481">
        <v>1.1479999999999999</v>
      </c>
      <c r="C50" s="477"/>
    </row>
    <row r="51" spans="1:3">
      <c r="A51" s="479" t="s">
        <v>1150</v>
      </c>
      <c r="B51" s="480">
        <f>B49*B50</f>
        <v>1108968</v>
      </c>
      <c r="C51" s="480">
        <f>+B51</f>
        <v>1108968</v>
      </c>
    </row>
    <row r="52" spans="1:3">
      <c r="A52" s="477" t="s">
        <v>1151</v>
      </c>
      <c r="B52" s="478">
        <f>14000*84</f>
        <v>1176000</v>
      </c>
      <c r="C52" s="478">
        <f>16000*84</f>
        <v>1344000</v>
      </c>
    </row>
    <row r="53" spans="1:3">
      <c r="A53" s="477" t="s">
        <v>1160</v>
      </c>
      <c r="B53" s="478">
        <f>3%*B52</f>
        <v>35280</v>
      </c>
      <c r="C53" s="478">
        <f>3%*C52</f>
        <v>40320</v>
      </c>
    </row>
    <row r="54" spans="1:3">
      <c r="A54" s="477" t="s">
        <v>1152</v>
      </c>
      <c r="B54" s="478">
        <f>B52-B53</f>
        <v>1140720</v>
      </c>
      <c r="C54" s="478">
        <f>C52-C53</f>
        <v>1303680</v>
      </c>
    </row>
    <row r="55" spans="1:3">
      <c r="A55" s="479" t="s">
        <v>1153</v>
      </c>
      <c r="B55" s="480">
        <f>B54-B51</f>
        <v>31752</v>
      </c>
      <c r="C55" s="480">
        <f>C54-C51</f>
        <v>194712</v>
      </c>
    </row>
    <row r="56" spans="1:3">
      <c r="A56" s="477" t="s">
        <v>1154</v>
      </c>
      <c r="B56" s="478">
        <f>20%*B55</f>
        <v>6350.4000000000005</v>
      </c>
      <c r="C56" s="478">
        <f>20%*C55</f>
        <v>38942.400000000001</v>
      </c>
    </row>
    <row r="57" spans="1:3">
      <c r="A57" s="477" t="s">
        <v>1155</v>
      </c>
      <c r="B57" s="478">
        <f>3%*B52</f>
        <v>35280</v>
      </c>
      <c r="C57" s="478">
        <f>3%*C52</f>
        <v>40320</v>
      </c>
    </row>
    <row r="58" spans="1:3">
      <c r="A58" s="479" t="s">
        <v>1156</v>
      </c>
      <c r="B58" s="480">
        <f>MAX(B57,B56)</f>
        <v>35280</v>
      </c>
      <c r="C58" s="480">
        <f>MAX(C57,C56)</f>
        <v>40320</v>
      </c>
    </row>
    <row r="59" spans="1:3">
      <c r="A59" s="477" t="s">
        <v>1157</v>
      </c>
      <c r="B59" s="477"/>
      <c r="C59" s="478">
        <f>+C58-B58</f>
        <v>5040</v>
      </c>
    </row>
    <row r="60" spans="1:3">
      <c r="A60" s="479" t="s">
        <v>1158</v>
      </c>
      <c r="B60" s="477"/>
      <c r="C60" s="480">
        <f>C59*1.25</f>
        <v>6300</v>
      </c>
    </row>
    <row r="63" spans="1:3">
      <c r="A63" s="482" t="s">
        <v>1162</v>
      </c>
    </row>
    <row r="64" spans="1:3">
      <c r="A64" s="482" t="s">
        <v>1163</v>
      </c>
    </row>
    <row r="65" spans="1:1">
      <c r="A65" s="483" t="s">
        <v>1164</v>
      </c>
    </row>
    <row r="66" spans="1:1">
      <c r="A66" s="483" t="s">
        <v>1165</v>
      </c>
    </row>
    <row r="67" spans="1:1">
      <c r="A67" s="483" t="s">
        <v>1166</v>
      </c>
    </row>
    <row r="68" spans="1:1">
      <c r="A68" s="483" t="s">
        <v>1167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B26" sqref="B26"/>
    </sheetView>
  </sheetViews>
  <sheetFormatPr baseColWidth="10" defaultRowHeight="14.5"/>
  <cols>
    <col min="3" max="3" width="15.54296875" style="102" customWidth="1"/>
    <col min="4" max="5" width="16.6328125" style="102" customWidth="1"/>
    <col min="6" max="6" width="17.81640625" style="102" customWidth="1"/>
    <col min="7" max="7" width="14.90625" customWidth="1"/>
    <col min="9" max="9" width="15" customWidth="1"/>
    <col min="10" max="10" width="13.81640625" customWidth="1"/>
  </cols>
  <sheetData>
    <row r="1" spans="1:7" ht="21.5" thickBot="1">
      <c r="A1" s="176" t="s">
        <v>456</v>
      </c>
      <c r="B1" s="177" t="s">
        <v>457</v>
      </c>
      <c r="C1" s="177" t="s">
        <v>458</v>
      </c>
      <c r="D1" s="177" t="s">
        <v>209</v>
      </c>
      <c r="E1" s="177" t="s">
        <v>459</v>
      </c>
      <c r="F1" s="177" t="s">
        <v>460</v>
      </c>
      <c r="G1" s="178" t="s">
        <v>461</v>
      </c>
    </row>
    <row r="2" spans="1:7" ht="15" thickBot="1">
      <c r="A2" s="176" t="s">
        <v>462</v>
      </c>
      <c r="B2" s="157">
        <v>3100</v>
      </c>
      <c r="C2" s="157">
        <v>3100</v>
      </c>
      <c r="D2" s="157">
        <v>3428</v>
      </c>
      <c r="E2" s="157">
        <v>3428</v>
      </c>
      <c r="F2" s="157">
        <v>3100</v>
      </c>
      <c r="G2" s="159"/>
    </row>
    <row r="3" spans="1:7" ht="15" thickBot="1">
      <c r="A3" s="176" t="s">
        <v>463</v>
      </c>
      <c r="B3" s="157">
        <v>3100</v>
      </c>
      <c r="C3" s="157">
        <v>6200</v>
      </c>
      <c r="D3" s="157">
        <v>3428</v>
      </c>
      <c r="E3" s="157">
        <v>6856</v>
      </c>
      <c r="F3" s="157">
        <v>3100</v>
      </c>
      <c r="G3" s="159"/>
    </row>
    <row r="4" spans="1:7" ht="15" thickBot="1">
      <c r="A4" s="176" t="s">
        <v>464</v>
      </c>
      <c r="B4" s="157">
        <v>3100</v>
      </c>
      <c r="C4" s="157">
        <v>9300</v>
      </c>
      <c r="D4" s="157">
        <v>3428</v>
      </c>
      <c r="E4" s="160">
        <v>10284</v>
      </c>
      <c r="F4" s="157">
        <v>3100</v>
      </c>
      <c r="G4" s="159"/>
    </row>
    <row r="5" spans="1:7" ht="15" thickBot="1">
      <c r="A5" s="176" t="s">
        <v>465</v>
      </c>
      <c r="B5" s="157">
        <v>3100</v>
      </c>
      <c r="C5" s="160">
        <v>12400</v>
      </c>
      <c r="D5" s="157">
        <v>3428</v>
      </c>
      <c r="E5" s="160">
        <v>13712</v>
      </c>
      <c r="F5" s="157">
        <v>3100</v>
      </c>
      <c r="G5" s="159"/>
    </row>
    <row r="6" spans="1:7" ht="15" thickBot="1">
      <c r="A6" s="176" t="s">
        <v>466</v>
      </c>
      <c r="B6" s="157">
        <v>3100</v>
      </c>
      <c r="C6" s="160">
        <v>15500</v>
      </c>
      <c r="D6" s="157">
        <v>3428</v>
      </c>
      <c r="E6" s="160">
        <v>17140</v>
      </c>
      <c r="F6" s="157">
        <v>3100</v>
      </c>
      <c r="G6" s="159"/>
    </row>
    <row r="7" spans="1:7" ht="30.5" thickBot="1">
      <c r="A7" s="176" t="s">
        <v>467</v>
      </c>
      <c r="B7" s="157" t="s">
        <v>468</v>
      </c>
      <c r="C7" s="161">
        <v>20900</v>
      </c>
      <c r="D7" s="157">
        <v>3428</v>
      </c>
      <c r="E7" s="160">
        <v>20568</v>
      </c>
      <c r="F7" s="157">
        <v>5068</v>
      </c>
      <c r="G7" s="158">
        <v>332</v>
      </c>
    </row>
    <row r="8" spans="1:7" ht="15" thickBot="1">
      <c r="A8" s="176" t="s">
        <v>469</v>
      </c>
      <c r="B8" s="157">
        <v>3100</v>
      </c>
      <c r="C8" s="161">
        <v>24000</v>
      </c>
      <c r="D8" s="157">
        <v>3428</v>
      </c>
      <c r="E8" s="160">
        <v>23996</v>
      </c>
      <c r="F8" s="157">
        <v>3428</v>
      </c>
      <c r="G8" s="158">
        <v>-328</v>
      </c>
    </row>
    <row r="9" spans="1:7" ht="15" thickBot="1">
      <c r="A9" s="176" t="s">
        <v>470</v>
      </c>
      <c r="B9" s="157">
        <v>3100</v>
      </c>
      <c r="C9" s="160">
        <v>27100</v>
      </c>
      <c r="D9" s="157">
        <v>3428</v>
      </c>
      <c r="E9" s="160">
        <v>27424</v>
      </c>
      <c r="F9" s="157">
        <v>3104</v>
      </c>
      <c r="G9" s="158">
        <v>-4</v>
      </c>
    </row>
    <row r="10" spans="1:7" ht="21.5" thickBot="1">
      <c r="A10" s="176" t="s">
        <v>471</v>
      </c>
      <c r="B10" s="157">
        <v>3100</v>
      </c>
      <c r="C10" s="160">
        <v>30200</v>
      </c>
      <c r="D10" s="157">
        <v>3428</v>
      </c>
      <c r="E10" s="160">
        <v>30852</v>
      </c>
      <c r="F10" s="157">
        <v>3100</v>
      </c>
      <c r="G10" s="159"/>
    </row>
    <row r="11" spans="1:7" ht="15" thickBot="1">
      <c r="A11" s="176" t="s">
        <v>472</v>
      </c>
      <c r="B11" s="157">
        <v>3100</v>
      </c>
      <c r="C11" s="160">
        <v>33300</v>
      </c>
      <c r="D11" s="157">
        <v>3428</v>
      </c>
      <c r="E11" s="160">
        <v>34280</v>
      </c>
      <c r="F11" s="157">
        <v>3100</v>
      </c>
      <c r="G11" s="159"/>
    </row>
    <row r="12" spans="1:7" ht="15" thickBot="1">
      <c r="A12" s="176" t="s">
        <v>473</v>
      </c>
      <c r="B12" s="157">
        <v>3100</v>
      </c>
      <c r="C12" s="160">
        <v>36400</v>
      </c>
      <c r="D12" s="157">
        <v>3428</v>
      </c>
      <c r="E12" s="160">
        <v>37708</v>
      </c>
      <c r="F12" s="157">
        <v>3100</v>
      </c>
      <c r="G12" s="159"/>
    </row>
    <row r="13" spans="1:7" ht="30.5" thickBot="1">
      <c r="A13" s="179" t="s">
        <v>474</v>
      </c>
      <c r="B13" s="163" t="s">
        <v>475</v>
      </c>
      <c r="C13" s="164">
        <v>42600</v>
      </c>
      <c r="D13" s="157">
        <v>3428</v>
      </c>
      <c r="E13" s="165">
        <v>41136</v>
      </c>
      <c r="F13" s="163">
        <v>4736</v>
      </c>
      <c r="G13" s="166">
        <v>1464</v>
      </c>
    </row>
    <row r="14" spans="1:7">
      <c r="B14" s="102"/>
      <c r="C14" s="167">
        <f>SUM(C2:C13)</f>
        <v>261000</v>
      </c>
      <c r="D14" s="167">
        <f>SUM(D2:D13)</f>
        <v>41136</v>
      </c>
      <c r="E14" s="167">
        <f t="shared" ref="E14:G14" si="0">SUM(E2:E13)</f>
        <v>267384</v>
      </c>
      <c r="F14" s="167">
        <f t="shared" si="0"/>
        <v>41136</v>
      </c>
      <c r="G14" s="167">
        <f t="shared" si="0"/>
        <v>1464</v>
      </c>
    </row>
    <row r="15" spans="1:7">
      <c r="A15" s="180" t="s">
        <v>509</v>
      </c>
      <c r="F15" s="168" t="s">
        <v>476</v>
      </c>
    </row>
    <row r="16" spans="1:7">
      <c r="A16" s="168" t="s">
        <v>477</v>
      </c>
      <c r="F16" s="102">
        <f>E13-F12-F11-F10-F9-F8-F7-F6-F5-F4-F3-F2</f>
        <v>4736</v>
      </c>
    </row>
    <row r="17" spans="1:9">
      <c r="A17" s="168" t="s">
        <v>478</v>
      </c>
      <c r="F17" s="102" t="s">
        <v>479</v>
      </c>
    </row>
    <row r="18" spans="1:9">
      <c r="B18" s="162"/>
      <c r="F18" s="102">
        <f>C13-E13-G9-G8-G7</f>
        <v>1464</v>
      </c>
    </row>
    <row r="19" spans="1:9">
      <c r="A19" s="180" t="s">
        <v>510</v>
      </c>
    </row>
    <row r="20" spans="1:9">
      <c r="A20" s="168" t="s">
        <v>480</v>
      </c>
      <c r="F20" s="102" t="s">
        <v>481</v>
      </c>
    </row>
    <row r="21" spans="1:9">
      <c r="A21" s="169" t="s">
        <v>482</v>
      </c>
      <c r="B21" s="170"/>
      <c r="C21" s="171"/>
      <c r="F21" s="102">
        <f>C12-F11-F10-F9-F8-F7-F6-F5-F4-F3-F2</f>
        <v>3100</v>
      </c>
    </row>
    <row r="22" spans="1:9">
      <c r="A22" s="168"/>
      <c r="G22" s="102"/>
      <c r="I22" s="103"/>
    </row>
    <row r="23" spans="1:9">
      <c r="A23" s="10" t="s">
        <v>483</v>
      </c>
    </row>
    <row r="24" spans="1:9">
      <c r="A24" t="s">
        <v>484</v>
      </c>
      <c r="F24" t="s">
        <v>483</v>
      </c>
    </row>
    <row r="25" spans="1:9">
      <c r="A25" t="s">
        <v>485</v>
      </c>
      <c r="F25" s="102">
        <f>C6-F5-F4-F3-F2</f>
        <v>3100</v>
      </c>
    </row>
    <row r="26" spans="1:9">
      <c r="A26" t="s">
        <v>486</v>
      </c>
    </row>
    <row r="27" spans="1:9">
      <c r="A27" t="s">
        <v>487</v>
      </c>
      <c r="F27" s="102">
        <f>E13-F12-F11-F10-F9-F8-F7-F6-F5-F4-F3-F2</f>
        <v>4736</v>
      </c>
    </row>
    <row r="29" spans="1:9">
      <c r="A29" s="10" t="s">
        <v>488</v>
      </c>
    </row>
    <row r="30" spans="1:9">
      <c r="A30" t="s">
        <v>489</v>
      </c>
    </row>
    <row r="31" spans="1:9">
      <c r="A31" t="s">
        <v>490</v>
      </c>
      <c r="F31" s="102">
        <f>C13-E13-G9-G8-G7</f>
        <v>1464</v>
      </c>
    </row>
    <row r="32" spans="1:9">
      <c r="A32" t="s">
        <v>491</v>
      </c>
    </row>
    <row r="33" spans="1:6">
      <c r="A33" s="172" t="s">
        <v>492</v>
      </c>
      <c r="B33" s="173"/>
      <c r="C33" s="174"/>
      <c r="D33" s="174"/>
      <c r="E33" s="174" t="s">
        <v>493</v>
      </c>
      <c r="F33" s="102">
        <f>G12-G9-G8-G7</f>
        <v>0</v>
      </c>
    </row>
    <row r="34" spans="1:6">
      <c r="A34" s="168"/>
    </row>
    <row r="35" spans="1:6">
      <c r="A35" s="168"/>
    </row>
    <row r="36" spans="1:6">
      <c r="A36" s="168"/>
    </row>
    <row r="37" spans="1:6">
      <c r="A37" s="168"/>
    </row>
    <row r="38" spans="1:6">
      <c r="A38" s="168"/>
    </row>
    <row r="39" spans="1:6">
      <c r="A39" s="1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7"/>
  <sheetViews>
    <sheetView zoomScale="85" zoomScaleNormal="85" workbookViewId="0">
      <selection activeCell="F4" sqref="F4"/>
    </sheetView>
  </sheetViews>
  <sheetFormatPr baseColWidth="10" defaultRowHeight="14.5"/>
  <cols>
    <col min="1" max="1" width="16.81640625" style="76" customWidth="1"/>
    <col min="2" max="2" width="15.26953125" style="102" customWidth="1"/>
    <col min="3" max="3" width="15.08984375" style="102" customWidth="1"/>
    <col min="4" max="4" width="12.54296875" style="102" customWidth="1"/>
    <col min="5" max="5" width="12.7265625" style="102" customWidth="1"/>
    <col min="6" max="6" width="13.1796875" style="102" customWidth="1"/>
    <col min="7" max="7" width="11" style="102" customWidth="1"/>
    <col min="8" max="8" width="12.81640625" style="102" customWidth="1"/>
    <col min="9" max="9" width="14.08984375" style="102" customWidth="1"/>
    <col min="10" max="10" width="11.1796875" style="102" customWidth="1"/>
    <col min="11" max="11" width="11" customWidth="1"/>
    <col min="12" max="12" width="11.26953125" customWidth="1"/>
    <col min="13" max="14" width="13.54296875" customWidth="1"/>
    <col min="15" max="16" width="13.453125" customWidth="1"/>
    <col min="17" max="17" width="15.81640625" style="76" customWidth="1"/>
    <col min="19" max="19" width="12" style="102" customWidth="1"/>
    <col min="20" max="20" width="12.36328125" customWidth="1"/>
    <col min="21" max="21" width="13.7265625" customWidth="1"/>
    <col min="22" max="22" width="13.1796875" customWidth="1"/>
  </cols>
  <sheetData>
    <row r="1" spans="1:22" ht="19.5" customHeight="1" thickBot="1">
      <c r="A1" s="219" t="s">
        <v>456</v>
      </c>
      <c r="B1" s="177" t="s">
        <v>637</v>
      </c>
      <c r="C1" s="177" t="s">
        <v>458</v>
      </c>
      <c r="D1" s="266" t="s">
        <v>659</v>
      </c>
      <c r="E1" s="266" t="s">
        <v>658</v>
      </c>
      <c r="F1" s="266" t="s">
        <v>649</v>
      </c>
      <c r="G1" s="265" t="s">
        <v>627</v>
      </c>
      <c r="H1" s="265" t="s">
        <v>629</v>
      </c>
      <c r="I1" s="177" t="s">
        <v>209</v>
      </c>
      <c r="J1" s="177" t="s">
        <v>459</v>
      </c>
      <c r="K1" s="177" t="s">
        <v>512</v>
      </c>
      <c r="L1" s="177" t="s">
        <v>536</v>
      </c>
      <c r="M1" s="266" t="s">
        <v>460</v>
      </c>
      <c r="N1" s="266" t="s">
        <v>461</v>
      </c>
      <c r="O1" s="267" t="s">
        <v>515</v>
      </c>
      <c r="P1" s="267" t="s">
        <v>548</v>
      </c>
      <c r="Q1" s="268" t="s">
        <v>535</v>
      </c>
      <c r="R1" s="183" t="s">
        <v>513</v>
      </c>
      <c r="S1" s="269" t="s">
        <v>514</v>
      </c>
      <c r="T1" s="267" t="s">
        <v>529</v>
      </c>
      <c r="U1" s="267" t="s">
        <v>530</v>
      </c>
      <c r="V1" s="270" t="s">
        <v>544</v>
      </c>
    </row>
    <row r="2" spans="1:22" ht="15" thickBot="1">
      <c r="A2" s="219" t="s">
        <v>462</v>
      </c>
      <c r="B2" s="210">
        <v>14000</v>
      </c>
      <c r="C2" s="210">
        <f>B2</f>
        <v>14000</v>
      </c>
      <c r="D2" s="210"/>
      <c r="E2" s="210">
        <f>D2</f>
        <v>0</v>
      </c>
      <c r="F2" s="210">
        <f>+G2+H2+E2</f>
        <v>124</v>
      </c>
      <c r="G2" s="157"/>
      <c r="H2" s="157">
        <v>124</v>
      </c>
      <c r="I2" s="157">
        <v>3428</v>
      </c>
      <c r="J2" s="157">
        <v>3428</v>
      </c>
      <c r="K2">
        <f>+J2*4</f>
        <v>13712</v>
      </c>
      <c r="L2">
        <f>+J2*8</f>
        <v>27424</v>
      </c>
      <c r="M2">
        <f>+IF((C2+F2)&lt;J2,(C2+F2),IF((C2+F2)&gt;J2,J2))</f>
        <v>3428</v>
      </c>
      <c r="N2">
        <f>+IF((C2+F2)&gt;J2,(C2+F2)-J2,IF((C2+F2)&lt;J2,0))</f>
        <v>10696</v>
      </c>
      <c r="O2">
        <f>+IF((C2+F2)&lt;K2,(C2+F2),IF((C2+F2)&gt;K2,K2))</f>
        <v>13712</v>
      </c>
      <c r="P2">
        <f>+IF((C2+F2)&lt;J2,0,IF((C2+F2)&gt;J2,Q2))</f>
        <v>14124</v>
      </c>
      <c r="Q2" s="76">
        <f>+IF((C2+F2)&lt;L2,(C2+F2),IF((C2+F2)&gt;L2,L2))</f>
        <v>14124</v>
      </c>
      <c r="R2" s="184">
        <v>4.0500000000000001E-2</v>
      </c>
      <c r="S2" s="102">
        <f>+O2*R2</f>
        <v>555.33600000000001</v>
      </c>
      <c r="T2">
        <f>+M2*R2</f>
        <v>138.834</v>
      </c>
      <c r="U2">
        <f>+IF((C2+F2)&lt;K2,(C2+F2)*R2-T2,IF((C2+F2)&gt;K2,K2*R2-T2))</f>
        <v>416.50200000000001</v>
      </c>
      <c r="V2">
        <f t="shared" ref="V2:V13" si="0">+(O2-M2)*R2</f>
        <v>416.50200000000001</v>
      </c>
    </row>
    <row r="3" spans="1:22" ht="15" thickBot="1">
      <c r="A3" s="219" t="s">
        <v>463</v>
      </c>
      <c r="B3" s="210">
        <v>14000</v>
      </c>
      <c r="C3" s="210">
        <f t="shared" ref="C3:C13" si="1">+C2+B3</f>
        <v>28000</v>
      </c>
      <c r="D3" s="210"/>
      <c r="E3" s="210">
        <f>E2+D3</f>
        <v>0</v>
      </c>
      <c r="F3" s="210">
        <f t="shared" ref="F3:F13" si="2">+G3+H3+E3</f>
        <v>253</v>
      </c>
      <c r="G3" s="157"/>
      <c r="H3" s="157">
        <v>253</v>
      </c>
      <c r="I3" s="157">
        <v>3428</v>
      </c>
      <c r="J3" s="157">
        <f>+J2+I3</f>
        <v>6856</v>
      </c>
      <c r="K3">
        <f t="shared" ref="K3:K13" si="3">+J3*4</f>
        <v>27424</v>
      </c>
      <c r="L3">
        <f>+J3*8</f>
        <v>54848</v>
      </c>
      <c r="M3">
        <f>+IF((C3+F3)&lt;J3,(C3+F3)-M2,IF((C3+F3)&gt;J3,J3-M2))</f>
        <v>3428</v>
      </c>
      <c r="N3">
        <f>+IF((C3+F3)&gt;J3,(C3+F3)-J3-N2,IF((C3+F3)&lt;J3,-N2))</f>
        <v>10701</v>
      </c>
      <c r="O3">
        <f>+IF((C3+F3)&lt;K3,(C3+F3)-O2,IF((C3+F3)&gt;K3,K3-O2))</f>
        <v>13712</v>
      </c>
      <c r="P3">
        <f>+IF((C3+F3)&lt;J3,0,IF((C3+F3)&gt;J3,Q3+Q2-P2))</f>
        <v>14129</v>
      </c>
      <c r="Q3" s="76">
        <f>+IF((C3+F3)&lt;L3,(C3+F3)-Q2,IF((C3+F3)&gt;L3,L3-Q2))</f>
        <v>14129</v>
      </c>
      <c r="R3" s="184">
        <v>4.0500000000000001E-2</v>
      </c>
      <c r="S3" s="102">
        <f>+O3*R3</f>
        <v>555.33600000000001</v>
      </c>
      <c r="T3">
        <f>+M3*R3</f>
        <v>138.834</v>
      </c>
      <c r="U3">
        <f>+IF((C3+F3)&lt;K3,(C3+F3)*R3-T3-T2-U2,IF((C3+F3)&gt;K3,K3*R3-T3-T2-U2))</f>
        <v>416.5019999999999</v>
      </c>
      <c r="V3">
        <f t="shared" si="0"/>
        <v>416.50200000000001</v>
      </c>
    </row>
    <row r="4" spans="1:22" ht="15" thickBot="1">
      <c r="A4" s="219" t="s">
        <v>464</v>
      </c>
      <c r="B4" s="210">
        <v>14000</v>
      </c>
      <c r="C4" s="210">
        <f t="shared" si="1"/>
        <v>42000</v>
      </c>
      <c r="D4" s="210"/>
      <c r="E4" s="210">
        <f>E3+D4</f>
        <v>0</v>
      </c>
      <c r="F4" s="210">
        <f t="shared" si="2"/>
        <v>4082</v>
      </c>
      <c r="G4" s="157"/>
      <c r="H4" s="157">
        <v>4082</v>
      </c>
      <c r="I4" s="157">
        <v>3428</v>
      </c>
      <c r="J4" s="157">
        <f>+J3+I4</f>
        <v>10284</v>
      </c>
      <c r="K4">
        <f>+J4*4</f>
        <v>41136</v>
      </c>
      <c r="L4">
        <f>+J4*8</f>
        <v>82272</v>
      </c>
      <c r="M4">
        <f>+IF((C4+F4)&lt;J4,(C4+F4)-M3-M2,IF((C4+F4)&gt;J4,J4-M3-M2))</f>
        <v>3428</v>
      </c>
      <c r="N4">
        <f>+IF((C4+F4)&gt;J4,(C4+F4)-J4-N3-N2,IF((C4+F4)&lt;J4,-N3-N2))</f>
        <v>14401</v>
      </c>
      <c r="O4">
        <f>+IF((C4+F4)&lt;K4,(C4+F4)-O3-O2,IF((C4+F4)&gt;K4,K4-O3-O2))</f>
        <v>13712</v>
      </c>
      <c r="P4">
        <f>+IF((C4+F4)&lt;J4,0,IF((C4+F4)&gt;J4,Q4+Q3+Q2-P3-P2))</f>
        <v>17829</v>
      </c>
      <c r="Q4" s="76">
        <f>+IF((C4+F4)&lt;L4,(C4+F4)-Q3-Q2,IF((C4+F4)&gt;L4,L4-Q3-Q2))</f>
        <v>17829</v>
      </c>
      <c r="R4" s="184">
        <v>4.0500000000000001E-2</v>
      </c>
      <c r="S4" s="102">
        <f>+O4*R4</f>
        <v>555.33600000000001</v>
      </c>
      <c r="T4">
        <f>+M4*R4</f>
        <v>138.834</v>
      </c>
      <c r="U4">
        <f>+IF((C4+F4)&lt;K4,(C4+F4)*R4-T4-T3-T2-U3-U2,IF((C4+F4)&gt;K4,K4*R4-T4-T3-T2-U3-U2))</f>
        <v>416.5019999999999</v>
      </c>
      <c r="V4">
        <f t="shared" si="0"/>
        <v>416.50200000000001</v>
      </c>
    </row>
    <row r="5" spans="1:22" ht="15" thickBot="1">
      <c r="A5" s="219" t="s">
        <v>465</v>
      </c>
      <c r="B5" s="210">
        <v>14000</v>
      </c>
      <c r="C5" s="210">
        <f t="shared" si="1"/>
        <v>56000</v>
      </c>
      <c r="D5" s="210"/>
      <c r="E5" s="210">
        <f t="shared" ref="E4:E8" si="4">E4+D5</f>
        <v>0</v>
      </c>
      <c r="F5" s="160">
        <f t="shared" si="2"/>
        <v>7911</v>
      </c>
      <c r="G5" s="160"/>
      <c r="H5" s="160">
        <v>7911</v>
      </c>
      <c r="I5" s="157">
        <v>3428</v>
      </c>
      <c r="J5" s="157">
        <f t="shared" ref="J5:J13" si="5">+J4+I5</f>
        <v>13712</v>
      </c>
      <c r="K5">
        <f t="shared" si="3"/>
        <v>54848</v>
      </c>
      <c r="L5">
        <f>+J5*8</f>
        <v>109696</v>
      </c>
      <c r="M5">
        <f>+IF((C5+F5)&lt;J5,(C5+F5)-M4-M3-M2,IF((C5+F5)&gt;J5,J5-M4-M3-M2))</f>
        <v>3428</v>
      </c>
      <c r="N5">
        <f>+IF((C5+F5)&gt;J5,(C5+F5)-J5-N4-N3-N2,IF((C5+F5)&lt;J5,-N4-N3-N2))</f>
        <v>14401</v>
      </c>
      <c r="O5">
        <f>+IF((C5+F5)&lt;K5,(C5+F5)-O4-O3-O2,IF((C5+F5)&gt;K5,K5-O4-O3-O2))</f>
        <v>13712</v>
      </c>
      <c r="P5">
        <f>+IF((C5+F5)&lt;J5,0,IF((C5+F5)&gt;J5,Q5+Q4+Q3+Q2-P4-P3-P2))</f>
        <v>17829</v>
      </c>
      <c r="Q5" s="76">
        <f>+IF((C5+F5)&lt;L5,(C5+F5)-Q4-Q3-Q2,IF((C5+F5)&gt;L5,L5-Q4-Q3-Q2))</f>
        <v>17829</v>
      </c>
      <c r="R5" s="184">
        <v>4.0500000000000001E-2</v>
      </c>
      <c r="S5" s="102">
        <f>+O5*R5</f>
        <v>555.33600000000001</v>
      </c>
      <c r="T5">
        <f>+M5*R5</f>
        <v>138.834</v>
      </c>
      <c r="U5">
        <f>+IF((C5+F5)&lt;K5,(C5+F5)*R5-T5-T4-T3-T2-U4-U3-U2,IF((C5+F5)&gt;K5,K5*R5-T5-T4-T3-T2-U4-U3-U2))</f>
        <v>416.50200000000012</v>
      </c>
      <c r="V5">
        <f t="shared" si="0"/>
        <v>416.50200000000001</v>
      </c>
    </row>
    <row r="6" spans="1:22" ht="15" thickBot="1">
      <c r="A6" s="219" t="s">
        <v>466</v>
      </c>
      <c r="B6" s="210">
        <v>14000</v>
      </c>
      <c r="C6" s="210">
        <f t="shared" si="1"/>
        <v>70000</v>
      </c>
      <c r="D6" s="210"/>
      <c r="E6" s="210">
        <f t="shared" si="4"/>
        <v>0</v>
      </c>
      <c r="F6" s="160">
        <f t="shared" si="2"/>
        <v>11740</v>
      </c>
      <c r="G6" s="160"/>
      <c r="H6" s="160">
        <v>11740</v>
      </c>
      <c r="I6" s="157">
        <v>3428</v>
      </c>
      <c r="J6" s="157">
        <f t="shared" si="5"/>
        <v>17140</v>
      </c>
      <c r="K6">
        <f t="shared" si="3"/>
        <v>68560</v>
      </c>
      <c r="L6">
        <f t="shared" ref="L6:L13" si="6">+J6*8</f>
        <v>137120</v>
      </c>
      <c r="M6">
        <f>+IF((C6+F6)&lt;J6,(C6+F6)-M5-M4-M3-M2,IF((C6+F6)&gt;J6,J6-M5-M4-M3-M2))</f>
        <v>3428</v>
      </c>
      <c r="N6">
        <f>+IF((C6+F6)&gt;J6,(C6+F6)-J6-N5-N4-N3-N2,IF((C6+F6)&lt;J6,-N5-N4-N3-N2))</f>
        <v>14401</v>
      </c>
      <c r="O6">
        <f>+IF((C6+F6)&lt;K6,(C6+F6)-O5-O4-O3-O2,IF((C6+F6)&gt;K6,K6-O5-O4-O3-O2))</f>
        <v>13712</v>
      </c>
      <c r="P6">
        <f>+IF((C6+F6)&lt;J6,0,IF((C6+F6)&gt;J6,Q6+Q5+Q4+Q3+Q2-P5-P4-P3-P2))</f>
        <v>17829</v>
      </c>
      <c r="Q6" s="76">
        <f>+IF((C6+F6)&lt;L6,(C6+F6)-Q5-Q4-Q3-Q2,IF((C6+F6)&gt;L6,L6-Q5-Q4-Q3-Q2))</f>
        <v>17829</v>
      </c>
      <c r="R6" s="184">
        <v>4.0500000000000001E-2</v>
      </c>
      <c r="S6" s="102">
        <f t="shared" ref="S6:S13" si="7">+O6*R6</f>
        <v>555.33600000000001</v>
      </c>
      <c r="T6">
        <f t="shared" ref="T6:T13" si="8">+M6*R6</f>
        <v>138.834</v>
      </c>
      <c r="U6">
        <f>+IF((C6+F6)&lt;K6,(C6+F6)*R6-T6-T5-T4-T3-T2-U5-U4-U3-U2,IF((C6+F6)&gt;K6,K6*R6-T6-T5-T4-T3-T2-U5-U4-U3-U2))</f>
        <v>416.50200000000103</v>
      </c>
      <c r="V6">
        <f t="shared" si="0"/>
        <v>416.50200000000001</v>
      </c>
    </row>
    <row r="7" spans="1:22" ht="15" thickBot="1">
      <c r="A7" s="219" t="s">
        <v>467</v>
      </c>
      <c r="B7" s="210">
        <v>70000</v>
      </c>
      <c r="C7" s="161">
        <f t="shared" si="1"/>
        <v>140000</v>
      </c>
      <c r="D7" s="161"/>
      <c r="E7" s="210">
        <f t="shared" si="4"/>
        <v>0</v>
      </c>
      <c r="F7" s="161">
        <f t="shared" si="2"/>
        <v>11869</v>
      </c>
      <c r="G7" s="161"/>
      <c r="H7" s="161">
        <v>11869</v>
      </c>
      <c r="I7" s="157">
        <v>3428</v>
      </c>
      <c r="J7" s="157">
        <f t="shared" si="5"/>
        <v>20568</v>
      </c>
      <c r="K7" s="87">
        <f t="shared" si="3"/>
        <v>82272</v>
      </c>
      <c r="L7" s="87">
        <f t="shared" si="6"/>
        <v>164544</v>
      </c>
      <c r="M7">
        <f>+IF((C7+F7)&lt;J7,(C7+F7)-M6-M5-M4-M3-M2,IF((C7+F7)&gt;J7,J7-M6-M5-M4-M3-M2))</f>
        <v>3428</v>
      </c>
      <c r="N7">
        <f>+IF((C7+F7)&gt;J7,(C7+F7)-J7-N6-N5-N4-N3-N2,IF((C7+F7)&lt;J7,-N6-N5-N4-N3-N2))</f>
        <v>66701</v>
      </c>
      <c r="O7">
        <f>+IF((C7+F7)&lt;K7,(C7+F7)-O6-O5-O4-O3-O2,IF((C7+F7)&gt;K7,K7-O6-O5-O4-O3-O2))</f>
        <v>13712</v>
      </c>
      <c r="P7">
        <f>+IF((C7+F7)&lt;J7,0,IF((C7+F7)&gt;J7,Q7+Q6+Q5+Q4+Q3+Q2-P6-P5-P4-P3-P2))</f>
        <v>70129</v>
      </c>
      <c r="Q7" s="76">
        <f>+IF((C7+F7)&lt;L7,(C7+F7)-Q6-Q5-Q4-Q3-Q2,IF((C7+F7)&gt;L7,L7-Q6-Q5-Q4-Q3-Q2))</f>
        <v>70129</v>
      </c>
      <c r="R7" s="184">
        <v>4.0500000000000001E-2</v>
      </c>
      <c r="S7" s="102">
        <f>+O7*R7</f>
        <v>555.33600000000001</v>
      </c>
      <c r="T7">
        <f t="shared" si="8"/>
        <v>138.834</v>
      </c>
      <c r="U7">
        <f>+IF((C7+F7)&lt;K7,(C7+F7)*R7-T7-T6-T5-T4-T3-T2-U6-U5-U4-U3-U2,IF((C7+F7)&gt;K7,K7*R7-T7-T6-T5-T4-T3-T2-U6-U5-U4-U3-U2))</f>
        <v>416.50200000000012</v>
      </c>
      <c r="V7">
        <f t="shared" si="0"/>
        <v>416.50200000000001</v>
      </c>
    </row>
    <row r="8" spans="1:22" ht="15" thickBot="1">
      <c r="A8" s="219" t="s">
        <v>469</v>
      </c>
      <c r="B8" s="157">
        <v>70000</v>
      </c>
      <c r="C8" s="182">
        <f t="shared" si="1"/>
        <v>210000</v>
      </c>
      <c r="D8" s="182"/>
      <c r="E8" s="210">
        <f t="shared" si="4"/>
        <v>0</v>
      </c>
      <c r="F8" s="182">
        <f t="shared" si="2"/>
        <v>12000.2</v>
      </c>
      <c r="G8" s="182"/>
      <c r="H8" s="182">
        <v>12000.2</v>
      </c>
      <c r="I8" s="157">
        <v>3428</v>
      </c>
      <c r="J8" s="157">
        <f t="shared" si="5"/>
        <v>23996</v>
      </c>
      <c r="K8">
        <f t="shared" si="3"/>
        <v>95984</v>
      </c>
      <c r="L8">
        <f t="shared" si="6"/>
        <v>191968</v>
      </c>
      <c r="M8">
        <f>+IF((C8+F8)&lt;J8,(C8+F8)-M7-M6-M5-M4-M3-M2,IF((C8+F8)&gt;J8,J8-M7-M6-M5-M4-M3-M2))</f>
        <v>3428</v>
      </c>
      <c r="N8">
        <f>+IF((C8+F8)&gt;J8,(C8+F8)-J8-N7-N6-N5-N4-N3-N2,IF((C8+F8)&lt;J8,-N7-N6-N5-N4-N3-N2))</f>
        <v>66703.200000000012</v>
      </c>
      <c r="O8">
        <f>+IF((C8+F8)&lt;K8,(C8+F8)-O7-O6-O5-O4-O3-O2,IF((C8+F8)&gt;K8,K8-O7-O6-O5-O4-O3-O2))</f>
        <v>13712</v>
      </c>
      <c r="P8">
        <f>+IF((C8+F8)&lt;J8,0,IF((C8+F8)&gt;J8,Q8+Q7+Q6+Q5+Q4+Q3+Q2-P7-P6-P5-P4-P3-P2))</f>
        <v>40099</v>
      </c>
      <c r="Q8" s="76">
        <f>+IF((C8+F8)&lt;L8,(C8+F8)-Q7-Q6-Q5-Q4-Q3-Q2,IF((C8+F8)&gt;L8,L8-Q7-Q6-Q5-Q4-Q3-Q2))</f>
        <v>40099</v>
      </c>
      <c r="R8" s="184">
        <v>4.0500000000000001E-2</v>
      </c>
      <c r="S8" s="102">
        <f>+O8*R8</f>
        <v>555.33600000000001</v>
      </c>
      <c r="T8">
        <f t="shared" si="8"/>
        <v>138.834</v>
      </c>
      <c r="U8">
        <f>+IF((C8+F8)&lt;K8,(C8+F8)*R8-T8-T7-T6-T5-T4-T3-T2-U7-U6-U5-U4-U3-U2,IF((C8+F8)&gt;K8,K8*R8-T8-T7-T6-T5-T4-T3-T2-U7-U6-U5-U4-U3-U2))</f>
        <v>416.50200000000058</v>
      </c>
      <c r="V8">
        <f t="shared" si="0"/>
        <v>416.50200000000001</v>
      </c>
    </row>
    <row r="9" spans="1:22" ht="15" thickBot="1">
      <c r="A9" s="219" t="s">
        <v>470</v>
      </c>
      <c r="B9" s="157">
        <v>35000</v>
      </c>
      <c r="C9" s="182">
        <f t="shared" si="1"/>
        <v>245000</v>
      </c>
      <c r="D9" s="182"/>
      <c r="E9" s="210">
        <f t="shared" ref="E9:E13" si="9">E8+D9</f>
        <v>0</v>
      </c>
      <c r="F9" s="160">
        <f t="shared" si="2"/>
        <v>12128.8</v>
      </c>
      <c r="G9" s="160"/>
      <c r="H9" s="160">
        <v>12128.8</v>
      </c>
      <c r="I9" s="157">
        <v>3428</v>
      </c>
      <c r="J9" s="157">
        <f t="shared" si="5"/>
        <v>27424</v>
      </c>
      <c r="K9">
        <f t="shared" si="3"/>
        <v>109696</v>
      </c>
      <c r="L9">
        <f t="shared" si="6"/>
        <v>219392</v>
      </c>
      <c r="M9">
        <f>+IF((C9+F9)&lt;J9,(C9+F9)-M8-M7-M6-M5-M4-M3-M2,IF((C9+F9)&gt;J9,J9-M8-M7-M6-M5-M4-M3-M2))</f>
        <v>3428</v>
      </c>
      <c r="N9">
        <f>+IF((C9+F9)&gt;J9,(C9+F9)-J9-N8-N7-N6-N5-N4-N3-N2,IF((C9+F9)&lt;J9,-N8-N7-N6-N5-N4-N3-N2))</f>
        <v>31700.599999999977</v>
      </c>
      <c r="O9">
        <f>+IF((C9+F9)&lt;K9,(C9+F9)-O8-O7-O6-O5-O4-O3-O2,IF((C9+F9)&gt;K9,K9-O8-O7-O6-O5-O4-O3-O2))</f>
        <v>13712</v>
      </c>
      <c r="P9">
        <f>+IF((C9+F9)&lt;J9,0,IF((C9+F9)&gt;J9,Q9+Q8+Q7+Q6+Q5+Q4+Q3+Q2-P8-P7-P6-P5-P4-P3-P2))</f>
        <v>27424</v>
      </c>
      <c r="Q9" s="76">
        <f>+IF((C9+F9)&lt;L9,(C9+F9)-Q8-Q7-Q6-Q5-Q4-Q3-Q2,IF((C9+F9)&gt;L9,L9-Q8-Q7-Q6-Q5-Q4-Q3-Q2))</f>
        <v>27424</v>
      </c>
      <c r="R9" s="184">
        <v>4.0500000000000001E-2</v>
      </c>
      <c r="S9" s="102">
        <f t="shared" si="7"/>
        <v>555.33600000000001</v>
      </c>
      <c r="T9">
        <f t="shared" si="8"/>
        <v>138.834</v>
      </c>
      <c r="U9">
        <f>+IF((C9+F9)&lt;K9,(C9+F9)*R9-T9-T8-T7-T6-T5-T4-T3-T2-U8-U7-U6-U5-U4-U3-U2,IF((C9+F9)&gt;K9,K9*R9-T9-T8-T7-T6-T5-T4-T3-T2-U8-U7-U6-U5-U4-U3-U2))</f>
        <v>416.50200000000012</v>
      </c>
      <c r="V9">
        <f t="shared" si="0"/>
        <v>416.50200000000001</v>
      </c>
    </row>
    <row r="10" spans="1:22" ht="15" thickBot="1">
      <c r="A10" s="219" t="s">
        <v>471</v>
      </c>
      <c r="B10" s="157">
        <v>17500</v>
      </c>
      <c r="C10" s="182">
        <f t="shared" si="1"/>
        <v>262500</v>
      </c>
      <c r="D10" s="182"/>
      <c r="E10" s="210">
        <f t="shared" si="9"/>
        <v>0</v>
      </c>
      <c r="F10" s="160">
        <f t="shared" si="2"/>
        <v>12257.4</v>
      </c>
      <c r="G10" s="160"/>
      <c r="H10" s="160">
        <v>12257.4</v>
      </c>
      <c r="I10" s="157">
        <v>3428</v>
      </c>
      <c r="J10" s="157">
        <f t="shared" si="5"/>
        <v>30852</v>
      </c>
      <c r="K10">
        <f t="shared" si="3"/>
        <v>123408</v>
      </c>
      <c r="L10">
        <f t="shared" si="6"/>
        <v>246816</v>
      </c>
      <c r="M10">
        <f>+IF((C10+F10)&lt;J10,(C10+F10)-M9-M8-M7-M6-M5-M4-M3-M2,IF((C10+F10)&gt;J10,J10-M9-M8-M7-M6-M5-M4-M3-M2))</f>
        <v>3428</v>
      </c>
      <c r="N10">
        <f>+IF((C10+F10)&gt;J10,(C10+F10)-J10-N9-N8-N7-N6-N5-N4-N3-N2,IF((C10+F10)&lt;J10,-N9-N8-N7-N6-N5-N4-N3-N2))</f>
        <v>14200.600000000035</v>
      </c>
      <c r="O10">
        <f>+IF((C10+F10)&lt;K10,(C10+F10)-O9-O8-O7-O6-O5-O4-O3-O2,IF((C10+F10)&gt;K10,K10-O9-O8-O7-O6-O5-O4-O3-O2))</f>
        <v>13712</v>
      </c>
      <c r="P10">
        <f>+IF((C10+F10)&lt;J10,0,IF((C10+F10)&gt;J10,Q10+Q9+Q8+Q7+Q6+Q5+Q4+Q3+Q2-P9-P8-P7-P6-P5-P4-P3-P2))</f>
        <v>27424</v>
      </c>
      <c r="Q10" s="194">
        <f>+IF((C10+F10)&lt;L10,(C10+F10)-Q9-Q8-Q7-Q6-Q5-Q4-Q3-Q2,IF((C10+F10)&gt;L10,L10-Q9-Q8-Q7-Q6-Q5-Q4-Q3-Q2))</f>
        <v>27424</v>
      </c>
      <c r="R10" s="184">
        <v>4.0500000000000001E-2</v>
      </c>
      <c r="S10" s="102">
        <f t="shared" si="7"/>
        <v>555.33600000000001</v>
      </c>
      <c r="T10">
        <f t="shared" si="8"/>
        <v>138.834</v>
      </c>
      <c r="U10">
        <f>+IF((C10+F10)&lt;K10,(C10+F10)*R10-T10-T9-T8-T7-T6-T5-T4-T3-T2-U9-U8-U7-U6-U5-U4-U3-U2,IF((C10+F10)&gt;K10,K10*R10-T10-T9-T8-T7-T6-T5-T4-T3-T2-U9-U8-U7-U6-U5-U4-U3-U2))</f>
        <v>416.50200000000058</v>
      </c>
      <c r="V10">
        <f t="shared" si="0"/>
        <v>416.50200000000001</v>
      </c>
    </row>
    <row r="11" spans="1:22" ht="15" thickBot="1">
      <c r="A11" s="219" t="s">
        <v>472</v>
      </c>
      <c r="B11" s="157">
        <v>8750</v>
      </c>
      <c r="C11" s="182">
        <f t="shared" si="1"/>
        <v>271250</v>
      </c>
      <c r="D11" s="182"/>
      <c r="E11" s="210">
        <f t="shared" si="9"/>
        <v>0</v>
      </c>
      <c r="F11" s="160">
        <f t="shared" si="2"/>
        <v>12386</v>
      </c>
      <c r="G11" s="160"/>
      <c r="H11" s="160">
        <v>12386</v>
      </c>
      <c r="I11" s="157">
        <v>3428</v>
      </c>
      <c r="J11" s="157">
        <f t="shared" si="5"/>
        <v>34280</v>
      </c>
      <c r="K11">
        <f t="shared" si="3"/>
        <v>137120</v>
      </c>
      <c r="L11">
        <f t="shared" si="6"/>
        <v>274240</v>
      </c>
      <c r="M11">
        <f>+IF((C11+F11)&lt;J11,(C11+F11)-M10-M9-M8-M7-M6-M5-M4-M3-M2,IF((C11+F11)&gt;J11,J11-M10-M9-M8-M7-M6-M5-M4-M3-M2))</f>
        <v>3428</v>
      </c>
      <c r="N11">
        <f>+IF((C11+F11)&gt;J11,(C11+F11)-J11-N10-N9-N8-N7-N6-N5-N4-N3-N2,IF((C11+F11)&lt;J11,-N10-N9-N8-N7-N6-N5-N4-N3-N2))</f>
        <v>5450.5999999999767</v>
      </c>
      <c r="O11">
        <f>+IF((C11+F11)&lt;K11,(C11+F11)-O10-O9-O8-O7-O6-O5-O4-O3-O2,IF((C11+F11)&gt;K11,K11-O10-O9-O8-O7-O6-O5-O4-O3-O2))</f>
        <v>13712</v>
      </c>
      <c r="P11">
        <f>+IF((C11+F11)&lt;J11,0,IF((C11+F11)&gt;J11,Q11+Q10+Q9+Q8+Q7+Q6+Q5+Q4+Q3+Q2-P10-P9-P8-P7-P6-P5-P4-P3-P2))</f>
        <v>27424</v>
      </c>
      <c r="Q11" s="76">
        <f>+IF((C11+F11)&lt;L11,(C11+F11)-Q10-Q9-Q8-Q7-Q6-Q5-Q4-Q3-Q2,IF((C11+F11)&gt;L11,L11-Q10-Q9-Q8-Q7-Q6-Q5-Q4-Q3-Q2))</f>
        <v>27424</v>
      </c>
      <c r="R11" s="184">
        <v>4.0500000000000001E-2</v>
      </c>
      <c r="S11" s="102">
        <f t="shared" si="7"/>
        <v>555.33600000000001</v>
      </c>
      <c r="T11">
        <f t="shared" si="8"/>
        <v>138.834</v>
      </c>
      <c r="U11">
        <f>+IF((C11+F11)&lt;K11,(C11+F11)*R11-T11-T10-T9-T8-T7-T6-T5-T4-T3-T2-U10-U9-U8-U7-U6-U5-U4-U3-U2,IF((C11+F11)&gt;K11,K11*R11-T11-T10-T9-T8-T7-T6-T5-T4-T3-T2-U10-U9-U8-U7-U6-U5-U4-U3-U2))</f>
        <v>416.50200000000058</v>
      </c>
      <c r="V11">
        <f t="shared" si="0"/>
        <v>416.50200000000001</v>
      </c>
    </row>
    <row r="12" spans="1:22" ht="15" thickBot="1">
      <c r="A12" s="219" t="s">
        <v>473</v>
      </c>
      <c r="B12" s="157">
        <v>4375</v>
      </c>
      <c r="C12" s="182">
        <f t="shared" si="1"/>
        <v>275625</v>
      </c>
      <c r="D12" s="182"/>
      <c r="E12" s="210">
        <f t="shared" si="9"/>
        <v>0</v>
      </c>
      <c r="F12" s="160">
        <f t="shared" si="2"/>
        <v>12514.6</v>
      </c>
      <c r="G12" s="160"/>
      <c r="H12" s="160">
        <v>12514.6</v>
      </c>
      <c r="I12" s="157">
        <v>3428</v>
      </c>
      <c r="J12" s="157">
        <f t="shared" si="5"/>
        <v>37708</v>
      </c>
      <c r="K12">
        <f t="shared" si="3"/>
        <v>150832</v>
      </c>
      <c r="L12">
        <f t="shared" si="6"/>
        <v>301664</v>
      </c>
      <c r="M12">
        <f>+IF((C12+F12)&lt;J12,(C12+F12)-M11-M10-M9-M8-M7-M6-M5-M4-M3-M2,IF((C12+F12)&gt;J12,J12-M11-M10-M9-M8-M7-M6-M5-M4-M3-M2))</f>
        <v>3428</v>
      </c>
      <c r="N12">
        <f>+IF((C12+F12)&gt;J12,(C12+F12)-J12-N11-N10-N9-N8-N7-N6-N5-N4-N3-N2,IF((C12+F12)&lt;J12,-N11-N10-N9-N8-N7-N6-N5-N4-N3-N2))</f>
        <v>1075.5999999999767</v>
      </c>
      <c r="O12">
        <f>+IF((C12+F12)&lt;K12,(C12+F12)-O11-O10-O9-O8-O7-O6-O5-O4-O3-O2,IF((C12+F12)&gt;K12,K12-O11-O10-O9-O8-O7-O6-O5-O4-O3-O2))</f>
        <v>13712</v>
      </c>
      <c r="P12">
        <f>+IF((C12+F12)&lt;J12,0,IF((C12+F12)&gt;J12,Q12+Q11+Q10+Q9+Q8+Q7+Q6+Q5+Q4+Q3+Q2-P11-P10-P9-P8-P7-P6-P5-P4-P3-P2))</f>
        <v>13899.599999999977</v>
      </c>
      <c r="Q12" s="76">
        <f>+IF((C12+F12)&lt;L12,(C12+F12)-Q11-Q10-Q9-Q8-Q7-Q6-Q5-Q4-Q3-Q2,IF((C12+F12)&gt;L12,L12-Q11-Q10-Q9-Q8-Q7-Q6-Q5-Q4-Q3-Q2))</f>
        <v>13899.599999999977</v>
      </c>
      <c r="R12" s="184">
        <v>4.0500000000000001E-2</v>
      </c>
      <c r="S12" s="102">
        <f t="shared" si="7"/>
        <v>555.33600000000001</v>
      </c>
      <c r="T12">
        <f t="shared" si="8"/>
        <v>138.834</v>
      </c>
      <c r="U12">
        <f>+IF((C12+F12)&lt;K12,(C12+F12)*R12-T12-T11-T10-T9-T8-T7-T6-T5-T4-T3-T2-U11-U10-U9-U8-U7-U6-U5-U4-U3-U2,IF((C12+F12)&gt;K12,K12*R12-T12-T11-T10-T9-T8-T7-T6-T5-T4-T3-T2-U11-U10-U9-U8-U7-U6-U5-U4-U3-U2))</f>
        <v>416.50199999999967</v>
      </c>
      <c r="V12">
        <f t="shared" si="0"/>
        <v>416.50200000000001</v>
      </c>
    </row>
    <row r="13" spans="1:22" ht="15" thickBot="1">
      <c r="A13" s="220" t="s">
        <v>474</v>
      </c>
      <c r="B13" s="157">
        <v>81</v>
      </c>
      <c r="C13" s="186">
        <f t="shared" si="1"/>
        <v>275706</v>
      </c>
      <c r="D13" s="215"/>
      <c r="E13" s="285">
        <f t="shared" si="9"/>
        <v>0</v>
      </c>
      <c r="F13" s="215">
        <f t="shared" si="2"/>
        <v>12643.2</v>
      </c>
      <c r="G13" s="215"/>
      <c r="H13" s="215">
        <v>12643.2</v>
      </c>
      <c r="I13" s="157">
        <v>3428</v>
      </c>
      <c r="J13" s="177">
        <f t="shared" si="5"/>
        <v>41136</v>
      </c>
      <c r="K13" s="187">
        <f t="shared" si="3"/>
        <v>164544</v>
      </c>
      <c r="L13" s="187">
        <f t="shared" si="6"/>
        <v>329088</v>
      </c>
      <c r="M13">
        <f>+IF((C13+F13)&lt;J13,(C13+F13)-M12-M11-M10-M9-M8-M7-M6-M5-M4-M3-M2,IF((C13+F13)&gt;J13,J13-M12-M11-M10-M9-M8-M7-M6-M5-M4-M3-M2))</f>
        <v>3428</v>
      </c>
      <c r="N13">
        <f>+IF((C13+F13)&gt;J13,(C13+F13)-J13-N12-N11-N10-N9-N8-N7-N6-N5-N4-N3-N2,IF((C13+F13)&lt;J13,-N12-N11-N10-N9-N8-N7-N6-N5-N4-N3-N2))</f>
        <v>-3218.3999999999651</v>
      </c>
      <c r="O13">
        <f>+IF((C13+F13)&lt;K13,(C13+F13)-O12-O11-O10-O9-O8-O7-O6-O5-O4-O3-O2,IF((C13+F13)&gt;K13,K13-O12-O11-O10-O9-O8-O7-O6-O5-O4-O3-O2))</f>
        <v>13712</v>
      </c>
      <c r="P13" s="10">
        <f>+IF((C13+F13)&lt;J13,0,IF((C13+F13)&gt;J13,Q13+Q12+Q11+Q10+Q9+Q8+Q7+Q6+Q5+Q4+Q3+Q2-P12-P11-P10-P9-P8-P7-P6-P5-P4-P3-P2))</f>
        <v>209.60000000003492</v>
      </c>
      <c r="Q13" s="76">
        <f>+IF((C13+F13)&lt;L13,(C13+F13)-Q12-Q11-Q10-Q9-Q8-Q7-Q6-Q5-Q4-Q3-Q2,IF((C13+F13)&gt;L13,L13-Q12-Q11-Q10-Q9-Q8-Q7-Q6-Q5-Q4-Q3-Q2))</f>
        <v>209.60000000003492</v>
      </c>
      <c r="R13" s="184">
        <v>4.0500000000000001E-2</v>
      </c>
      <c r="S13" s="102">
        <f t="shared" si="7"/>
        <v>555.33600000000001</v>
      </c>
      <c r="T13">
        <f t="shared" si="8"/>
        <v>138.834</v>
      </c>
      <c r="U13">
        <f>+IF((C13+F13)&lt;K13,(C13+F13)*R13-T13-T12-T11-T10-T9-T8-T7-T6-T5-T4-T3-T2-U12-U11-U10-U9-U8-U7-U6-U5-U4-U3-U2,IF((C13+F13)&gt;K13,K13*R13-T13-T12-T11-T10-T9-T8-T7-T6-T5-T4-T3-T2-U12-U11-U10-U9-U8-U7-U6-U5-U4-U3-U2))</f>
        <v>416.50200000000058</v>
      </c>
      <c r="V13">
        <f t="shared" si="0"/>
        <v>416.50200000000001</v>
      </c>
    </row>
    <row r="14" spans="1:22">
      <c r="B14" s="167">
        <f>SUM(B2:B13)</f>
        <v>275706</v>
      </c>
      <c r="C14" s="167">
        <f>+C13</f>
        <v>275706</v>
      </c>
      <c r="D14" s="167">
        <f>+D13</f>
        <v>0</v>
      </c>
      <c r="E14" s="167">
        <f>+E13</f>
        <v>0</v>
      </c>
      <c r="F14" s="167">
        <f>+F13</f>
        <v>12643.2</v>
      </c>
      <c r="G14" s="167">
        <f t="shared" ref="G14:H14" si="10">+G13</f>
        <v>0</v>
      </c>
      <c r="H14" s="167">
        <f t="shared" si="10"/>
        <v>12643.2</v>
      </c>
      <c r="I14" s="167">
        <f>SUM(I2:I13)</f>
        <v>41136</v>
      </c>
      <c r="J14" s="167"/>
      <c r="K14" s="167"/>
      <c r="L14" s="167"/>
      <c r="M14" s="167">
        <f>SUM(M2:M13)</f>
        <v>41136</v>
      </c>
      <c r="N14" s="167">
        <f t="shared" ref="N14" si="11">SUM(N2:N13)</f>
        <v>247213.2</v>
      </c>
      <c r="O14" s="167">
        <f>SUM(O2:O13)</f>
        <v>164544</v>
      </c>
      <c r="P14" s="167">
        <f>SUM(P2:P13)</f>
        <v>288349.2</v>
      </c>
      <c r="Q14" s="189">
        <f>SUM(Q2:Q13)</f>
        <v>288349.2</v>
      </c>
      <c r="R14" s="185">
        <v>4.0500000000000001E-2</v>
      </c>
      <c r="S14" s="167">
        <f>SUM(S2:S13)</f>
        <v>6664.032000000002</v>
      </c>
      <c r="T14" s="167">
        <f>SUM(T2:T13)</f>
        <v>1666.0080000000005</v>
      </c>
      <c r="U14" s="167">
        <f>SUM(U2:U13)</f>
        <v>4998.0240000000022</v>
      </c>
      <c r="V14" s="167">
        <f>SUM(V2:V13)</f>
        <v>4998.0240000000013</v>
      </c>
    </row>
    <row r="15" spans="1:22">
      <c r="K15" s="103"/>
      <c r="L15" s="103"/>
      <c r="O15" s="272">
        <f>+O14-M14</f>
        <v>123408</v>
      </c>
      <c r="P15" s="103"/>
      <c r="Q15" s="272">
        <f>+Q14-M14</f>
        <v>247213.2</v>
      </c>
      <c r="S15" s="167">
        <f>O14*R14</f>
        <v>6664.0320000000002</v>
      </c>
      <c r="U15" s="167">
        <f>T14+U14</f>
        <v>6664.0320000000029</v>
      </c>
      <c r="V15" s="167">
        <f>T14+V14</f>
        <v>6664.032000000002</v>
      </c>
    </row>
    <row r="16" spans="1:22">
      <c r="K16" s="103"/>
      <c r="L16" s="103"/>
      <c r="O16" s="272" t="s">
        <v>544</v>
      </c>
      <c r="P16" s="103"/>
      <c r="Q16" s="273" t="s">
        <v>650</v>
      </c>
      <c r="S16" s="167"/>
      <c r="U16" s="167"/>
      <c r="V16" s="167"/>
    </row>
    <row r="17" spans="1:22">
      <c r="K17" s="103"/>
      <c r="L17" s="103"/>
      <c r="O17" s="103"/>
      <c r="P17" s="103"/>
      <c r="Q17" s="193"/>
      <c r="S17" s="167"/>
      <c r="U17" s="167"/>
      <c r="V17" s="167"/>
    </row>
    <row r="18" spans="1:22">
      <c r="A18" s="221" t="s">
        <v>509</v>
      </c>
      <c r="C18" s="10"/>
      <c r="D18" s="10"/>
      <c r="F18" s="10"/>
      <c r="G18" s="10"/>
      <c r="H18" s="10"/>
      <c r="M18" s="180" t="s">
        <v>511</v>
      </c>
      <c r="N18" s="180"/>
      <c r="S18" s="206" t="s">
        <v>515</v>
      </c>
      <c r="T18" s="208">
        <f>S15-U15</f>
        <v>0</v>
      </c>
      <c r="U18" s="209" t="s">
        <v>400</v>
      </c>
    </row>
    <row r="19" spans="1:22">
      <c r="A19" s="192" t="s">
        <v>477</v>
      </c>
      <c r="C19"/>
      <c r="D19"/>
      <c r="F19"/>
      <c r="G19"/>
      <c r="H19"/>
      <c r="M19" s="168" t="s">
        <v>521</v>
      </c>
      <c r="N19" s="168"/>
      <c r="S19" t="s">
        <v>522</v>
      </c>
      <c r="T19" s="208">
        <f>S15-V15</f>
        <v>0</v>
      </c>
      <c r="U19" s="209" t="s">
        <v>400</v>
      </c>
    </row>
    <row r="20" spans="1:22">
      <c r="A20" s="192" t="s">
        <v>478</v>
      </c>
      <c r="C20"/>
      <c r="D20"/>
      <c r="F20"/>
      <c r="G20"/>
      <c r="H20"/>
      <c r="K20" s="168"/>
      <c r="L20" s="168"/>
      <c r="M20" s="180" t="s">
        <v>523</v>
      </c>
      <c r="N20" s="180"/>
      <c r="O20" s="102"/>
      <c r="P20" s="102"/>
      <c r="Q20" s="190"/>
      <c r="S20" t="s">
        <v>524</v>
      </c>
    </row>
    <row r="21" spans="1:22">
      <c r="C21"/>
      <c r="D21"/>
      <c r="F21"/>
      <c r="G21"/>
      <c r="H21"/>
      <c r="I21" s="102">
        <v>205680</v>
      </c>
      <c r="M21" s="168" t="s">
        <v>525</v>
      </c>
      <c r="N21" s="168"/>
      <c r="O21" s="102"/>
      <c r="P21" s="102"/>
      <c r="Q21" s="190"/>
      <c r="S21" t="s">
        <v>486</v>
      </c>
    </row>
    <row r="22" spans="1:22">
      <c r="A22" s="221" t="s">
        <v>510</v>
      </c>
      <c r="C22"/>
      <c r="D22"/>
      <c r="F22"/>
      <c r="G22"/>
      <c r="H22"/>
      <c r="I22" s="102">
        <f>+I21/5</f>
        <v>41136</v>
      </c>
      <c r="K22" s="180"/>
      <c r="L22" s="180"/>
      <c r="S22" t="s">
        <v>526</v>
      </c>
    </row>
    <row r="23" spans="1:22">
      <c r="A23" s="192" t="s">
        <v>480</v>
      </c>
      <c r="I23" s="102">
        <f>+I22/12</f>
        <v>3428</v>
      </c>
      <c r="K23" s="188" t="s">
        <v>400</v>
      </c>
      <c r="L23" s="188"/>
      <c r="M23" s="10" t="s">
        <v>528</v>
      </c>
      <c r="O23" s="10" t="s">
        <v>518</v>
      </c>
      <c r="P23" s="10"/>
      <c r="Q23" s="191"/>
      <c r="R23" t="s">
        <v>531</v>
      </c>
    </row>
    <row r="24" spans="1:22">
      <c r="A24" s="222" t="s">
        <v>482</v>
      </c>
      <c r="K24" s="188" t="s">
        <v>400</v>
      </c>
      <c r="L24" s="188"/>
      <c r="M24" s="10" t="s">
        <v>517</v>
      </c>
      <c r="O24" t="s">
        <v>522</v>
      </c>
    </row>
    <row r="25" spans="1:22">
      <c r="A25" s="223" t="s">
        <v>483</v>
      </c>
      <c r="K25" s="188" t="s">
        <v>400</v>
      </c>
      <c r="L25" s="188"/>
      <c r="M25" s="10" t="s">
        <v>516</v>
      </c>
      <c r="O25" t="s">
        <v>532</v>
      </c>
    </row>
    <row r="26" spans="1:22">
      <c r="A26" s="76" t="s">
        <v>484</v>
      </c>
      <c r="O26" t="s">
        <v>533</v>
      </c>
    </row>
    <row r="27" spans="1:22">
      <c r="A27" s="76" t="s">
        <v>485</v>
      </c>
      <c r="O27" t="s">
        <v>534</v>
      </c>
    </row>
    <row r="28" spans="1:22">
      <c r="A28" s="76" t="s">
        <v>486</v>
      </c>
      <c r="O28" s="10" t="s">
        <v>545</v>
      </c>
      <c r="P28" s="10"/>
    </row>
    <row r="29" spans="1:22">
      <c r="A29" s="76" t="s">
        <v>487</v>
      </c>
      <c r="M29" s="168"/>
      <c r="N29" s="170"/>
      <c r="O29" s="168" t="s">
        <v>527</v>
      </c>
      <c r="P29" s="168"/>
      <c r="Q29" s="192"/>
    </row>
    <row r="30" spans="1:22">
      <c r="L30" s="180" t="s">
        <v>537</v>
      </c>
      <c r="N30" s="170"/>
      <c r="O30" s="168" t="s">
        <v>519</v>
      </c>
      <c r="P30" s="168"/>
      <c r="Q30" s="192"/>
    </row>
    <row r="31" spans="1:22">
      <c r="A31" s="223" t="s">
        <v>488</v>
      </c>
      <c r="C31" s="174"/>
      <c r="D31" s="174"/>
      <c r="F31" s="174"/>
      <c r="G31" s="174"/>
      <c r="H31" s="174"/>
      <c r="I31" s="174"/>
      <c r="L31" s="168" t="s">
        <v>538</v>
      </c>
      <c r="N31" s="170"/>
      <c r="O31" s="168" t="s">
        <v>520</v>
      </c>
      <c r="P31" s="168"/>
      <c r="Q31" s="192"/>
    </row>
    <row r="32" spans="1:22">
      <c r="A32" s="76" t="s">
        <v>489</v>
      </c>
      <c r="L32" s="180" t="s">
        <v>539</v>
      </c>
      <c r="N32" s="170"/>
    </row>
    <row r="33" spans="1:16">
      <c r="A33" s="76" t="s">
        <v>490</v>
      </c>
      <c r="L33" s="168" t="s">
        <v>540</v>
      </c>
      <c r="N33" s="170"/>
      <c r="P33" s="207" t="s">
        <v>548</v>
      </c>
    </row>
    <row r="34" spans="1:16">
      <c r="A34" s="76" t="s">
        <v>491</v>
      </c>
      <c r="N34" s="170"/>
      <c r="P34" s="10" t="s">
        <v>547</v>
      </c>
    </row>
    <row r="35" spans="1:16">
      <c r="A35" s="224" t="s">
        <v>492</v>
      </c>
      <c r="L35" s="206" t="s">
        <v>535</v>
      </c>
    </row>
    <row r="36" spans="1:16">
      <c r="L36" t="s">
        <v>541</v>
      </c>
    </row>
    <row r="37" spans="1:16">
      <c r="L37" t="s">
        <v>542</v>
      </c>
    </row>
    <row r="38" spans="1:16">
      <c r="C38"/>
      <c r="D38"/>
      <c r="F38"/>
      <c r="G38"/>
      <c r="H38"/>
      <c r="I38"/>
      <c r="J38"/>
      <c r="L38" t="s">
        <v>486</v>
      </c>
    </row>
    <row r="39" spans="1:16">
      <c r="C39"/>
      <c r="D39"/>
      <c r="F39"/>
      <c r="G39"/>
      <c r="H39"/>
      <c r="I39"/>
      <c r="J39"/>
      <c r="L39" t="s">
        <v>543</v>
      </c>
    </row>
    <row r="40" spans="1:16">
      <c r="C40"/>
      <c r="D40"/>
      <c r="F40"/>
      <c r="G40"/>
      <c r="H40"/>
      <c r="I40"/>
      <c r="J40"/>
    </row>
    <row r="41" spans="1:16">
      <c r="C41"/>
      <c r="D41"/>
      <c r="F41"/>
      <c r="G41"/>
      <c r="H41"/>
      <c r="I41"/>
      <c r="J41"/>
      <c r="L41" s="10" t="s">
        <v>546</v>
      </c>
    </row>
    <row r="42" spans="1:16">
      <c r="C42"/>
      <c r="D42"/>
      <c r="F42"/>
      <c r="G42"/>
      <c r="H42"/>
      <c r="I42"/>
      <c r="J42"/>
    </row>
    <row r="43" spans="1:16">
      <c r="C43"/>
      <c r="D43"/>
      <c r="F43"/>
      <c r="G43"/>
      <c r="H43"/>
      <c r="I43"/>
      <c r="J43"/>
    </row>
    <row r="44" spans="1:16" ht="18" thickBot="1">
      <c r="A44" s="225" t="s">
        <v>551</v>
      </c>
    </row>
    <row r="46" spans="1:16">
      <c r="A46" s="197" t="s">
        <v>552</v>
      </c>
    </row>
    <row r="47" spans="1:16">
      <c r="A47" s="197" t="s">
        <v>553</v>
      </c>
    </row>
    <row r="48" spans="1:16">
      <c r="A48" s="197" t="s">
        <v>554</v>
      </c>
    </row>
    <row r="50" spans="1:19">
      <c r="A50" s="197" t="s">
        <v>555</v>
      </c>
    </row>
    <row r="51" spans="1:19">
      <c r="A51" s="76" t="s">
        <v>556</v>
      </c>
    </row>
    <row r="52" spans="1:19">
      <c r="A52" s="226"/>
    </row>
    <row r="53" spans="1:19">
      <c r="A53" s="226" t="s">
        <v>557</v>
      </c>
    </row>
    <row r="54" spans="1:19">
      <c r="A54" s="226" t="s">
        <v>558</v>
      </c>
    </row>
    <row r="55" spans="1:19">
      <c r="A55" s="226"/>
    </row>
    <row r="56" spans="1:19" ht="15" thickBot="1">
      <c r="A56" s="226" t="s">
        <v>559</v>
      </c>
      <c r="B56" s="8"/>
      <c r="E56" s="8"/>
      <c r="L56" s="8" t="s">
        <v>566</v>
      </c>
      <c r="M56" s="8"/>
    </row>
    <row r="57" spans="1:19" ht="42.5" thickBot="1">
      <c r="A57" s="227" t="s">
        <v>47</v>
      </c>
      <c r="B57" s="198" t="s">
        <v>48</v>
      </c>
      <c r="E57" s="282"/>
      <c r="L57" s="198" t="s">
        <v>567</v>
      </c>
      <c r="M57" s="198" t="s">
        <v>568</v>
      </c>
      <c r="N57" s="213">
        <v>0.06</v>
      </c>
      <c r="O57">
        <f>1.5/100</f>
        <v>1.4999999999999999E-2</v>
      </c>
      <c r="P57" s="214">
        <f>+N57*B58</f>
        <v>2468.16</v>
      </c>
      <c r="Q57" s="211" t="s">
        <v>582</v>
      </c>
      <c r="S57" s="167">
        <f>P57*2</f>
        <v>4936.32</v>
      </c>
    </row>
    <row r="58" spans="1:19" ht="28.5" thickBot="1">
      <c r="A58" s="199" t="s">
        <v>560</v>
      </c>
      <c r="B58" s="203">
        <v>41136</v>
      </c>
      <c r="C58" s="211" t="s">
        <v>582</v>
      </c>
      <c r="D58" s="211"/>
      <c r="E58" s="283"/>
      <c r="F58" s="211"/>
      <c r="G58" s="211"/>
      <c r="H58" s="211"/>
      <c r="K58" s="170">
        <f>+B58*10%</f>
        <v>4113.6000000000004</v>
      </c>
      <c r="L58" s="199" t="s">
        <v>569</v>
      </c>
      <c r="M58" s="205">
        <v>4113</v>
      </c>
      <c r="N58" s="213">
        <v>0.05</v>
      </c>
      <c r="O58" s="212" t="s">
        <v>584</v>
      </c>
      <c r="P58" s="214">
        <f>+N58*B58</f>
        <v>2056.8000000000002</v>
      </c>
      <c r="Q58" s="211" t="s">
        <v>582</v>
      </c>
    </row>
    <row r="59" spans="1:19" ht="26" customHeight="1" thickBot="1">
      <c r="A59" s="201" t="s">
        <v>561</v>
      </c>
      <c r="B59" s="204">
        <v>10284</v>
      </c>
      <c r="C59" s="211" t="s">
        <v>582</v>
      </c>
      <c r="D59" s="211"/>
      <c r="E59" s="284"/>
      <c r="F59" s="211"/>
      <c r="G59" s="211"/>
      <c r="H59" s="211"/>
      <c r="L59" s="201" t="s">
        <v>570</v>
      </c>
      <c r="M59" s="202">
        <v>20568</v>
      </c>
      <c r="N59" s="211" t="s">
        <v>582</v>
      </c>
    </row>
    <row r="60" spans="1:19" ht="28.5" thickBot="1">
      <c r="A60" s="199" t="s">
        <v>562</v>
      </c>
      <c r="B60" s="203">
        <v>3428</v>
      </c>
      <c r="C60" s="211" t="s">
        <v>582</v>
      </c>
      <c r="D60" s="211"/>
      <c r="E60" s="283"/>
      <c r="F60" s="211"/>
      <c r="G60" s="211"/>
      <c r="H60" s="211"/>
      <c r="K60" s="103"/>
      <c r="L60" s="199" t="s">
        <v>571</v>
      </c>
      <c r="M60" s="200">
        <v>41136</v>
      </c>
      <c r="N60" s="211" t="s">
        <v>582</v>
      </c>
    </row>
    <row r="61" spans="1:19" ht="28.5" thickBot="1">
      <c r="A61" s="201" t="s">
        <v>563</v>
      </c>
      <c r="B61" s="204">
        <v>791</v>
      </c>
      <c r="C61" s="211" t="s">
        <v>582</v>
      </c>
      <c r="D61" s="211"/>
      <c r="E61" s="284"/>
      <c r="F61" s="211"/>
      <c r="G61" s="211"/>
      <c r="H61" s="211"/>
      <c r="L61" s="201" t="s">
        <v>572</v>
      </c>
      <c r="M61" s="202">
        <v>82272</v>
      </c>
      <c r="N61" s="211" t="s">
        <v>582</v>
      </c>
    </row>
    <row r="62" spans="1:19" ht="15" thickBot="1">
      <c r="A62" s="199" t="s">
        <v>564</v>
      </c>
      <c r="B62" s="203">
        <v>189</v>
      </c>
      <c r="C62" s="211" t="s">
        <v>582</v>
      </c>
      <c r="D62" s="211"/>
      <c r="E62" s="283"/>
      <c r="F62" s="211"/>
      <c r="G62" s="211"/>
      <c r="H62" s="211"/>
      <c r="L62" s="199" t="s">
        <v>573</v>
      </c>
      <c r="M62" s="200">
        <v>123408</v>
      </c>
      <c r="N62" s="211" t="s">
        <v>582</v>
      </c>
    </row>
    <row r="63" spans="1:19" ht="15" thickBot="1">
      <c r="A63" s="201" t="s">
        <v>565</v>
      </c>
      <c r="B63" s="204">
        <v>26</v>
      </c>
      <c r="C63" s="211" t="s">
        <v>582</v>
      </c>
      <c r="D63" s="211"/>
      <c r="E63" s="284"/>
      <c r="F63" s="211"/>
      <c r="G63" s="211"/>
      <c r="H63" s="211"/>
      <c r="L63" s="201" t="s">
        <v>574</v>
      </c>
      <c r="M63" s="202">
        <v>164544</v>
      </c>
      <c r="N63" s="211" t="s">
        <v>582</v>
      </c>
    </row>
    <row r="64" spans="1:19" ht="15" thickBot="1">
      <c r="L64" s="199" t="s">
        <v>575</v>
      </c>
      <c r="M64" s="200">
        <v>205680</v>
      </c>
      <c r="N64" s="213">
        <v>0.05</v>
      </c>
      <c r="P64" s="214">
        <f>+M64*N64</f>
        <v>10284</v>
      </c>
      <c r="Q64" s="211" t="s">
        <v>582</v>
      </c>
    </row>
    <row r="65" spans="1:14" ht="15" thickBot="1">
      <c r="L65" s="201" t="s">
        <v>576</v>
      </c>
      <c r="M65" s="202">
        <v>246816</v>
      </c>
      <c r="N65" s="211" t="s">
        <v>582</v>
      </c>
    </row>
    <row r="66" spans="1:14" ht="15" thickBot="1">
      <c r="K66">
        <f>+B58*7</f>
        <v>287952</v>
      </c>
      <c r="L66" s="199" t="s">
        <v>577</v>
      </c>
      <c r="M66" s="200">
        <v>287952</v>
      </c>
      <c r="N66" s="211" t="s">
        <v>582</v>
      </c>
    </row>
    <row r="67" spans="1:14" ht="15" thickBot="1">
      <c r="I67" s="102">
        <f>8%*K67</f>
        <v>26327.040000000001</v>
      </c>
      <c r="J67" s="102">
        <f>2%*K67</f>
        <v>6581.76</v>
      </c>
      <c r="K67">
        <f>+B58*8</f>
        <v>329088</v>
      </c>
      <c r="L67" s="199" t="s">
        <v>600</v>
      </c>
      <c r="M67" s="200">
        <v>329088</v>
      </c>
      <c r="N67" s="211" t="s">
        <v>582</v>
      </c>
    </row>
    <row r="68" spans="1:14" ht="15" thickBot="1">
      <c r="L68" s="201" t="s">
        <v>578</v>
      </c>
      <c r="M68" s="202">
        <v>411360</v>
      </c>
      <c r="N68" s="211" t="s">
        <v>582</v>
      </c>
    </row>
    <row r="69" spans="1:14">
      <c r="A69" s="228" t="s">
        <v>583</v>
      </c>
    </row>
    <row r="71" spans="1:14">
      <c r="A71" s="191" t="s">
        <v>592</v>
      </c>
    </row>
    <row r="72" spans="1:14">
      <c r="A72" s="77" t="s">
        <v>585</v>
      </c>
      <c r="B72" s="76"/>
      <c r="C72" s="76"/>
      <c r="D72" s="76"/>
      <c r="E72" s="76"/>
      <c r="F72" s="76"/>
      <c r="G72" s="76"/>
      <c r="H72" s="76"/>
    </row>
    <row r="73" spans="1:14">
      <c r="A73" s="274" t="s">
        <v>586</v>
      </c>
      <c r="B73" s="216"/>
      <c r="C73" s="216"/>
      <c r="D73" s="216"/>
      <c r="E73" s="216"/>
      <c r="F73" s="216"/>
      <c r="G73" s="216"/>
      <c r="H73" s="216"/>
    </row>
    <row r="74" spans="1:14">
      <c r="A74" s="275" t="s">
        <v>587</v>
      </c>
      <c r="B74" s="276" t="s">
        <v>0</v>
      </c>
      <c r="C74" s="276" t="s">
        <v>1</v>
      </c>
      <c r="D74" s="276"/>
      <c r="E74" s="276"/>
      <c r="F74" s="276" t="s">
        <v>588</v>
      </c>
      <c r="G74" s="276" t="s">
        <v>0</v>
      </c>
      <c r="H74" s="276" t="s">
        <v>1</v>
      </c>
      <c r="I74" s="276" t="s">
        <v>588</v>
      </c>
    </row>
    <row r="75" spans="1:14">
      <c r="A75" s="275" t="s">
        <v>589</v>
      </c>
      <c r="B75" s="281">
        <v>10837.5</v>
      </c>
      <c r="C75" s="278"/>
      <c r="D75" s="278"/>
      <c r="E75" s="281"/>
      <c r="F75" s="278"/>
      <c r="G75" s="277"/>
      <c r="H75" s="278"/>
      <c r="I75" s="278"/>
    </row>
    <row r="76" spans="1:14">
      <c r="A76" s="275" t="s">
        <v>654</v>
      </c>
      <c r="B76" s="281"/>
      <c r="C76" s="278"/>
      <c r="D76" s="278"/>
      <c r="E76" s="281"/>
      <c r="F76" s="278"/>
      <c r="G76" s="277"/>
      <c r="H76" s="278"/>
      <c r="I76" s="278"/>
    </row>
    <row r="77" spans="1:14">
      <c r="A77" s="275" t="s">
        <v>590</v>
      </c>
      <c r="B77" s="281">
        <v>78.38</v>
      </c>
      <c r="C77" s="278"/>
      <c r="D77" s="278"/>
      <c r="E77" s="281"/>
      <c r="F77" s="278"/>
      <c r="G77" s="277"/>
      <c r="H77" s="278"/>
      <c r="I77" s="278"/>
    </row>
    <row r="78" spans="1:14">
      <c r="A78" s="275" t="s">
        <v>591</v>
      </c>
      <c r="B78" s="277">
        <v>10837.5</v>
      </c>
      <c r="C78" s="278"/>
      <c r="D78" s="278"/>
      <c r="E78" s="277"/>
      <c r="F78" s="278"/>
      <c r="G78" s="277"/>
      <c r="H78" s="278"/>
      <c r="I78" s="278"/>
    </row>
    <row r="79" spans="1:14">
      <c r="A79" s="275" t="s">
        <v>592</v>
      </c>
      <c r="B79" s="281">
        <v>10915.88</v>
      </c>
      <c r="C79" s="278"/>
      <c r="D79" s="278"/>
      <c r="E79" s="281"/>
      <c r="F79" s="278"/>
      <c r="G79" s="277"/>
      <c r="H79" s="278"/>
      <c r="I79" s="278"/>
    </row>
    <row r="80" spans="1:14">
      <c r="A80" s="275" t="s">
        <v>593</v>
      </c>
      <c r="B80" s="277">
        <v>3428</v>
      </c>
      <c r="C80" s="278"/>
      <c r="D80" s="278"/>
      <c r="E80" s="277"/>
      <c r="F80" s="278"/>
      <c r="G80" s="277"/>
      <c r="H80" s="278"/>
      <c r="I80" s="278"/>
    </row>
    <row r="81" spans="1:10">
      <c r="A81" s="275" t="s">
        <v>594</v>
      </c>
      <c r="B81" s="277">
        <v>3428</v>
      </c>
      <c r="C81" s="278"/>
      <c r="D81" s="278"/>
      <c r="E81" s="277"/>
      <c r="F81" s="278"/>
      <c r="G81" s="277"/>
      <c r="H81" s="278"/>
      <c r="I81" s="278"/>
    </row>
    <row r="82" spans="1:10">
      <c r="A82" s="275" t="s">
        <v>595</v>
      </c>
      <c r="B82" s="277">
        <v>7487.88</v>
      </c>
      <c r="C82" s="278"/>
      <c r="D82" s="278"/>
      <c r="E82" s="277"/>
      <c r="F82" s="278"/>
      <c r="G82" s="277"/>
      <c r="H82" s="278"/>
      <c r="I82" s="278"/>
    </row>
    <row r="83" spans="1:10">
      <c r="A83" s="275" t="s">
        <v>596</v>
      </c>
      <c r="B83" s="277">
        <f>+B79</f>
        <v>10915.88</v>
      </c>
      <c r="C83" s="279">
        <v>7.0000000000000007E-2</v>
      </c>
      <c r="D83" s="279"/>
      <c r="E83" s="277"/>
      <c r="F83" s="278">
        <v>764.11</v>
      </c>
      <c r="G83" s="277"/>
      <c r="H83" s="278"/>
      <c r="I83" s="278"/>
    </row>
    <row r="84" spans="1:10">
      <c r="A84" s="275" t="s">
        <v>597</v>
      </c>
      <c r="B84" s="277">
        <f>+B79</f>
        <v>10915.88</v>
      </c>
      <c r="C84" s="280">
        <v>3.0000000000000001E-3</v>
      </c>
      <c r="D84" s="280"/>
      <c r="E84" s="277"/>
      <c r="F84" s="278">
        <v>32.75</v>
      </c>
      <c r="G84" s="277"/>
      <c r="H84" s="278"/>
      <c r="I84" s="278"/>
    </row>
    <row r="85" spans="1:10">
      <c r="A85" s="275" t="s">
        <v>598</v>
      </c>
      <c r="B85" s="277">
        <f>+B79</f>
        <v>10915.88</v>
      </c>
      <c r="C85" s="280">
        <v>4.0000000000000001E-3</v>
      </c>
      <c r="D85" s="280"/>
      <c r="E85" s="277"/>
      <c r="F85" s="278">
        <v>43.66</v>
      </c>
      <c r="G85" s="277">
        <v>10915.88</v>
      </c>
      <c r="H85" s="280">
        <v>1.9E-2</v>
      </c>
      <c r="I85" s="278">
        <v>207.4</v>
      </c>
    </row>
    <row r="86" spans="1:10">
      <c r="A86" s="77" t="s">
        <v>599</v>
      </c>
      <c r="B86" s="76"/>
      <c r="C86" s="76"/>
      <c r="D86" s="76"/>
      <c r="E86" s="76"/>
      <c r="F86" s="76"/>
      <c r="G86" s="76"/>
      <c r="H86" s="76"/>
      <c r="J86" s="102" t="s">
        <v>653</v>
      </c>
    </row>
    <row r="88" spans="1:10" ht="17.5">
      <c r="A88" s="217" t="s">
        <v>601</v>
      </c>
    </row>
    <row r="89" spans="1:10">
      <c r="A89" s="218" t="s">
        <v>602</v>
      </c>
    </row>
    <row r="91" spans="1:10">
      <c r="A91" s="76" t="s">
        <v>605</v>
      </c>
    </row>
    <row r="93" spans="1:10">
      <c r="A93" s="230" t="s">
        <v>651</v>
      </c>
      <c r="B93" s="457"/>
      <c r="C93" s="457"/>
      <c r="D93" s="457"/>
      <c r="E93" s="457"/>
      <c r="F93" s="457"/>
      <c r="G93" s="457"/>
      <c r="H93" s="457"/>
      <c r="I93" s="457"/>
      <c r="J93" s="457"/>
    </row>
    <row r="94" spans="1:10">
      <c r="A94" s="194" t="s">
        <v>652</v>
      </c>
      <c r="B94" s="457"/>
      <c r="C94" s="457"/>
      <c r="D94" s="457"/>
      <c r="E94" s="457"/>
      <c r="F94" s="457"/>
      <c r="G94" s="457"/>
      <c r="H94" s="457"/>
      <c r="I94" s="457"/>
      <c r="J94" s="457"/>
    </row>
    <row r="95" spans="1:10">
      <c r="A95" s="231" t="s">
        <v>603</v>
      </c>
      <c r="B95" s="457"/>
      <c r="C95" s="457"/>
      <c r="D95" s="457"/>
      <c r="E95" s="457"/>
      <c r="F95" s="457"/>
      <c r="G95" s="457"/>
      <c r="H95" s="457"/>
      <c r="I95" s="457"/>
      <c r="J95" s="457"/>
    </row>
    <row r="96" spans="1:10">
      <c r="A96" s="229" t="s">
        <v>604</v>
      </c>
      <c r="B96" s="457"/>
      <c r="C96" s="457"/>
      <c r="D96" s="457"/>
      <c r="E96" s="457"/>
      <c r="F96" s="457"/>
      <c r="G96" s="457"/>
      <c r="H96" s="457"/>
      <c r="I96" s="457"/>
      <c r="J96" s="457"/>
    </row>
    <row r="99" spans="1:1" ht="20">
      <c r="A99" s="393" t="s">
        <v>941</v>
      </c>
    </row>
    <row r="100" spans="1:1">
      <c r="A100" s="394" t="s">
        <v>942</v>
      </c>
    </row>
    <row r="101" spans="1:1">
      <c r="A101" s="395" t="s">
        <v>943</v>
      </c>
    </row>
    <row r="103" spans="1:1">
      <c r="A103" s="396" t="s">
        <v>944</v>
      </c>
    </row>
    <row r="105" spans="1:1" ht="20">
      <c r="A105" s="393" t="s">
        <v>671</v>
      </c>
    </row>
    <row r="107" spans="1:1">
      <c r="A107" s="397" t="s">
        <v>945</v>
      </c>
    </row>
  </sheetData>
  <hyperlinks>
    <hyperlink ref="A72" r:id="rId1" display="https://la-paie-facile.com/cotisations-sociales/"/>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3" sqref="B13"/>
    </sheetView>
  </sheetViews>
  <sheetFormatPr baseColWidth="10" defaultRowHeight="14.5"/>
  <sheetData>
    <row r="1" spans="1:2" ht="20">
      <c r="A1" s="458" t="s">
        <v>1094</v>
      </c>
    </row>
    <row r="3" spans="1:2" ht="17.5">
      <c r="A3" s="380" t="s">
        <v>1095</v>
      </c>
    </row>
    <row r="4" spans="1:2">
      <c r="A4" s="459" t="s">
        <v>1096</v>
      </c>
    </row>
    <row r="5" spans="1:2">
      <c r="A5" s="460" t="s">
        <v>1097</v>
      </c>
    </row>
    <row r="6" spans="1:2">
      <c r="A6" s="460" t="s">
        <v>1098</v>
      </c>
    </row>
    <row r="7" spans="1:2">
      <c r="A7" s="460" t="s">
        <v>1099</v>
      </c>
    </row>
    <row r="8" spans="1:2">
      <c r="A8" s="461" t="s">
        <v>1101</v>
      </c>
    </row>
    <row r="9" spans="1:2">
      <c r="A9" s="412" t="s">
        <v>1100</v>
      </c>
    </row>
    <row r="10" spans="1:2">
      <c r="A10" s="412" t="s">
        <v>1102</v>
      </c>
    </row>
    <row r="11" spans="1:2">
      <c r="A11" s="412"/>
    </row>
    <row r="13" spans="1:2">
      <c r="B13" s="461" t="s">
        <v>1101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
  <sheetViews>
    <sheetView zoomScale="85" zoomScaleNormal="85" workbookViewId="0">
      <selection activeCell="N2" sqref="N2"/>
    </sheetView>
  </sheetViews>
  <sheetFormatPr baseColWidth="10" defaultRowHeight="14.5"/>
  <cols>
    <col min="1" max="1" width="9.1796875" style="15" customWidth="1"/>
    <col min="2" max="2" width="14.26953125" style="15" customWidth="1"/>
    <col min="3" max="3" width="10.90625" style="15"/>
    <col min="4" max="4" width="12.81640625" style="15" customWidth="1"/>
    <col min="5" max="6" width="10.90625" style="15"/>
    <col min="7" max="7" width="10.90625" style="15" customWidth="1"/>
    <col min="8" max="8" width="12.26953125" style="15" customWidth="1"/>
    <col min="9" max="9" width="13.453125" style="15" customWidth="1"/>
    <col min="10" max="10" width="13.08984375" style="15" customWidth="1"/>
    <col min="11" max="11" width="12.7265625" style="15" customWidth="1"/>
    <col min="12" max="12" width="7.453125" style="15" customWidth="1"/>
    <col min="13" max="14" width="10.90625" style="15" customWidth="1"/>
    <col min="15" max="15" width="5.6328125" style="15" customWidth="1"/>
    <col min="16" max="16" width="10.90625" customWidth="1"/>
    <col min="17" max="17" width="10.90625" style="15" customWidth="1"/>
    <col min="18" max="18" width="3.1796875" customWidth="1"/>
    <col min="19" max="19" width="10.90625" customWidth="1"/>
    <col min="20" max="20" width="10.90625" style="15" customWidth="1"/>
    <col min="21" max="21" width="12" customWidth="1"/>
    <col min="22" max="22" width="13.08984375" customWidth="1"/>
    <col min="23" max="23" width="12" customWidth="1"/>
    <col min="24" max="24" width="12.08984375" customWidth="1"/>
    <col min="25" max="25" width="12.6328125" customWidth="1"/>
    <col min="26" max="26" width="12.36328125" customWidth="1"/>
    <col min="27" max="27" width="12.90625" customWidth="1"/>
    <col min="28" max="28" width="6.08984375" customWidth="1"/>
    <col min="29" max="29" width="12.36328125" customWidth="1"/>
    <col min="30" max="30" width="13.90625" customWidth="1"/>
    <col min="31" max="31" width="10.90625" style="15"/>
    <col min="37" max="37" width="12.36328125" customWidth="1"/>
    <col min="38" max="38" width="11.81640625" style="15" customWidth="1"/>
    <col min="39" max="39" width="7.7265625" customWidth="1"/>
    <col min="40" max="40" width="6.08984375" customWidth="1"/>
    <col min="41" max="41" width="12.36328125" customWidth="1"/>
    <col min="42" max="42" width="7.7265625" customWidth="1"/>
  </cols>
  <sheetData>
    <row r="1" spans="1:45" ht="41" customHeight="1">
      <c r="A1" s="236" t="s">
        <v>456</v>
      </c>
      <c r="B1" s="264" t="s">
        <v>457</v>
      </c>
      <c r="C1" s="261" t="s">
        <v>645</v>
      </c>
      <c r="D1" s="237" t="s">
        <v>209</v>
      </c>
      <c r="E1" s="237" t="s">
        <v>459</v>
      </c>
      <c r="F1" s="237" t="s">
        <v>512</v>
      </c>
      <c r="G1" s="237" t="s">
        <v>536</v>
      </c>
      <c r="H1" s="261" t="s">
        <v>460</v>
      </c>
      <c r="I1" s="261" t="s">
        <v>461</v>
      </c>
      <c r="J1" s="261" t="s">
        <v>515</v>
      </c>
      <c r="K1" s="261" t="s">
        <v>646</v>
      </c>
      <c r="L1" s="249" t="s">
        <v>513</v>
      </c>
      <c r="M1" s="249" t="s">
        <v>606</v>
      </c>
      <c r="N1" s="249" t="s">
        <v>613</v>
      </c>
      <c r="O1" s="249" t="s">
        <v>513</v>
      </c>
      <c r="P1" s="263" t="s">
        <v>607</v>
      </c>
      <c r="Q1" s="249" t="s">
        <v>614</v>
      </c>
      <c r="R1" s="249" t="s">
        <v>513</v>
      </c>
      <c r="S1" s="249" t="s">
        <v>608</v>
      </c>
      <c r="T1" s="249" t="s">
        <v>615</v>
      </c>
      <c r="U1" s="260" t="s">
        <v>644</v>
      </c>
      <c r="V1" s="249" t="s">
        <v>609</v>
      </c>
      <c r="W1" s="260" t="s">
        <v>647</v>
      </c>
      <c r="X1" s="249" t="s">
        <v>610</v>
      </c>
      <c r="Y1" s="249" t="s">
        <v>611</v>
      </c>
      <c r="Z1" s="253" t="s">
        <v>612</v>
      </c>
      <c r="AA1" s="249" t="s">
        <v>616</v>
      </c>
      <c r="AB1" s="265" t="s">
        <v>627</v>
      </c>
      <c r="AC1" s="250" t="s">
        <v>628</v>
      </c>
      <c r="AD1" s="249" t="s">
        <v>617</v>
      </c>
      <c r="AE1" s="260" t="s">
        <v>618</v>
      </c>
      <c r="AF1" s="249" t="s">
        <v>619</v>
      </c>
      <c r="AG1" s="260" t="s">
        <v>648</v>
      </c>
      <c r="AH1" s="249" t="s">
        <v>620</v>
      </c>
      <c r="AI1" s="249" t="s">
        <v>621</v>
      </c>
      <c r="AJ1" s="249" t="s">
        <v>623</v>
      </c>
      <c r="AK1" s="253" t="s">
        <v>622</v>
      </c>
      <c r="AL1" s="236" t="s">
        <v>624</v>
      </c>
      <c r="AM1" s="249" t="s">
        <v>625</v>
      </c>
      <c r="AN1" s="265" t="s">
        <v>629</v>
      </c>
      <c r="AO1" s="250" t="s">
        <v>630</v>
      </c>
      <c r="AP1" s="249"/>
      <c r="AQ1" s="249"/>
      <c r="AR1" s="249"/>
      <c r="AS1" s="249"/>
    </row>
    <row r="2" spans="1:45">
      <c r="A2" s="236" t="s">
        <v>462</v>
      </c>
      <c r="B2" s="238">
        <v>3520</v>
      </c>
      <c r="C2" s="238">
        <f>B2</f>
        <v>3520</v>
      </c>
      <c r="D2" s="239">
        <v>3428</v>
      </c>
      <c r="E2" s="239">
        <v>3428</v>
      </c>
      <c r="F2" s="240">
        <f>+E2*4</f>
        <v>13712</v>
      </c>
      <c r="G2" s="240">
        <f t="shared" ref="G2:G13" si="0">+E2*8</f>
        <v>27424</v>
      </c>
      <c r="H2" s="240">
        <f>+IF(C2&lt;E2,C2,IF(C2&gt;E2,E2))</f>
        <v>3428</v>
      </c>
      <c r="I2" s="240">
        <f>+IF(C2&gt;E2,C2-E2,IF(C2&lt;E2,0))</f>
        <v>92</v>
      </c>
      <c r="J2" s="240">
        <f>+IF(C2&lt;F2,C2,IF(C2&gt;F2,F2))</f>
        <v>3520</v>
      </c>
      <c r="K2" s="240">
        <f>+IF(C2&lt;G2,C2,IF(C2&gt;G2,G2))</f>
        <v>3520</v>
      </c>
      <c r="L2" s="251">
        <v>1.7319999999999999E-2</v>
      </c>
      <c r="M2" s="15">
        <f t="shared" ref="M2:M7" si="1">H2*L2</f>
        <v>59.372959999999992</v>
      </c>
      <c r="N2" s="15">
        <f>+M2</f>
        <v>59.372959999999992</v>
      </c>
      <c r="O2" s="251">
        <v>1.7319999999999999E-2</v>
      </c>
      <c r="P2">
        <f>(K2-H2)*O2</f>
        <v>1.59344</v>
      </c>
      <c r="Q2" s="15">
        <f>+P2</f>
        <v>1.59344</v>
      </c>
      <c r="R2" s="252">
        <v>0.02</v>
      </c>
      <c r="S2">
        <f>H2*R2</f>
        <v>68.56</v>
      </c>
      <c r="T2" s="15">
        <f>+S2</f>
        <v>68.56</v>
      </c>
      <c r="U2">
        <f>M2+P2+S2</f>
        <v>129.5264</v>
      </c>
      <c r="V2" s="15">
        <f>E2*0.06</f>
        <v>205.67999999999998</v>
      </c>
      <c r="W2" s="15">
        <f>+C2*0.015</f>
        <v>52.8</v>
      </c>
      <c r="X2" s="15">
        <f>+E2*0.12</f>
        <v>411.35999999999996</v>
      </c>
      <c r="Y2" s="10">
        <f>IF((V2+W2)&lt;X2,(V2+W2),IF((V2+W2)&gt;=X2,X2))</f>
        <v>258.47999999999996</v>
      </c>
      <c r="Z2" s="15">
        <f>Y2</f>
        <v>258.47999999999996</v>
      </c>
      <c r="AA2" s="235">
        <f>IF((N2+Q2+T2)&gt;Y2,(Y2),IF((N2+Q2+T2)&lt;=Y2,N2+Q2+T2))</f>
        <v>129.5264</v>
      </c>
      <c r="AB2" s="271">
        <f>IF((N2+Q2+T2)&gt;Y2,((N2+Q2+T2)-Y2),IF((N2+Q2+T2)&lt;=Y2,0))</f>
        <v>0</v>
      </c>
      <c r="AC2" s="15">
        <f>AB2</f>
        <v>0</v>
      </c>
      <c r="AD2">
        <v>300</v>
      </c>
      <c r="AE2" s="15">
        <f>+AD2</f>
        <v>300</v>
      </c>
      <c r="AF2">
        <f t="shared" ref="AF2:AF13" si="2">E2*0.05</f>
        <v>171.4</v>
      </c>
      <c r="AG2">
        <f t="shared" ref="AG2:AG13" si="3">+C2*0.05</f>
        <v>176</v>
      </c>
      <c r="AH2">
        <f t="shared" ref="AH2:AH13" si="4">+E2*0.05*5</f>
        <v>857</v>
      </c>
      <c r="AI2" s="10">
        <f>IF((AG2)&lt;AH2,(AG2),IF((AG2)&gt;=AH2,AH2))</f>
        <v>176</v>
      </c>
      <c r="AJ2" s="10">
        <f>IF((AF2)&lt;AI2,(AI2),IF((AF2)&gt;=AI2,AF2))</f>
        <v>176</v>
      </c>
      <c r="AK2" s="15">
        <f>AJ2</f>
        <v>176</v>
      </c>
      <c r="AL2" s="235">
        <f>IF((AE2)&gt;AJ2,(AJ2),IF((AE2)&lt;=AJ2,AE2))</f>
        <v>176</v>
      </c>
      <c r="AM2">
        <f>AA2+AL2</f>
        <v>305.52639999999997</v>
      </c>
      <c r="AN2" s="271">
        <f t="shared" ref="AN2:AN13" si="5">IF((AE2)&gt;AJ2,((AE2)-AJ2),IF((AE2)&lt;=AJ2,0))</f>
        <v>124</v>
      </c>
      <c r="AO2" s="15">
        <f>AN2</f>
        <v>124</v>
      </c>
    </row>
    <row r="3" spans="1:45">
      <c r="A3" s="236" t="s">
        <v>463</v>
      </c>
      <c r="B3" s="238">
        <v>3420</v>
      </c>
      <c r="C3" s="238">
        <f t="shared" ref="C3:C13" si="6">+C2+B3</f>
        <v>6940</v>
      </c>
      <c r="D3" s="239">
        <v>3428</v>
      </c>
      <c r="E3" s="239">
        <f>+E2+D3</f>
        <v>6856</v>
      </c>
      <c r="F3" s="240">
        <f t="shared" ref="F3:F13" si="7">+E3*4</f>
        <v>27424</v>
      </c>
      <c r="G3" s="240">
        <f t="shared" si="0"/>
        <v>54848</v>
      </c>
      <c r="H3" s="240">
        <f>+IF(C3&lt;E3,C3-H2,IF(C3&gt;E3,E3-H2))</f>
        <v>3428</v>
      </c>
      <c r="I3" s="240">
        <f>+IF(C3&gt;E3,C3-E3-I2,IF(C3&lt;E3,-I2))</f>
        <v>-8</v>
      </c>
      <c r="J3" s="240">
        <f>+IF(C3&lt;F3,C3-J2,IF(C3&gt;F3,F3-J2))</f>
        <v>3420</v>
      </c>
      <c r="K3" s="240">
        <f>+IF(C3&lt;G3,C3-K2,IF(C3&gt;G3,G3-K2))</f>
        <v>3420</v>
      </c>
      <c r="L3" s="247">
        <v>1.7319999999999999E-2</v>
      </c>
      <c r="M3" s="15">
        <f t="shared" si="1"/>
        <v>59.372959999999992</v>
      </c>
      <c r="N3" s="15">
        <f>+N2+M3</f>
        <v>118.74591999999998</v>
      </c>
      <c r="O3" s="15">
        <v>1.7319999999999999E-2</v>
      </c>
      <c r="P3">
        <f t="shared" ref="P3:P13" si="8">(K3-H3)*O3</f>
        <v>-0.13855999999999999</v>
      </c>
      <c r="Q3" s="15">
        <f>+Q2+P3</f>
        <v>1.45488</v>
      </c>
      <c r="R3" s="252">
        <v>0.02</v>
      </c>
      <c r="S3">
        <f t="shared" ref="S3:S13" si="9">H3*R3</f>
        <v>68.56</v>
      </c>
      <c r="T3" s="15">
        <f>+T2+S3</f>
        <v>137.12</v>
      </c>
      <c r="U3">
        <f t="shared" ref="U3:U13" si="10">M3+P3+S3</f>
        <v>127.7944</v>
      </c>
      <c r="V3" s="15">
        <f>E3*0.06</f>
        <v>411.35999999999996</v>
      </c>
      <c r="W3" s="15">
        <f>+C3*0.015</f>
        <v>104.1</v>
      </c>
      <c r="X3" s="15">
        <f t="shared" ref="X3:X13" si="11">+E3*0.12</f>
        <v>822.71999999999991</v>
      </c>
      <c r="Y3" s="10">
        <f>IF((V3+W3)&lt;X3,(V3+W3),IF((V3+W3)&gt;=X3,X3))</f>
        <v>515.45999999999992</v>
      </c>
      <c r="Z3" s="15">
        <f>Y3-Z2</f>
        <v>256.97999999999996</v>
      </c>
      <c r="AA3" s="235">
        <f>IF((N3+Q3+T3)&gt;Y3,(Y3-AA2),IF((N3+Q3+T3)&lt;=Y3,N3+Q3+T3-AA2))</f>
        <v>127.79439999999997</v>
      </c>
      <c r="AB3" s="271">
        <f>IF((N3+Q3+T3)&gt;Y3,((N3+Q3+T3)-Y3),IF((N3+Q3+T3)&lt;=Y3,0))</f>
        <v>0</v>
      </c>
      <c r="AC3" s="15">
        <f>AB3-AC2</f>
        <v>0</v>
      </c>
      <c r="AD3">
        <v>300</v>
      </c>
      <c r="AE3" s="15">
        <f>+AE2+AD3</f>
        <v>600</v>
      </c>
      <c r="AF3">
        <f t="shared" si="2"/>
        <v>342.8</v>
      </c>
      <c r="AG3">
        <f t="shared" si="3"/>
        <v>347</v>
      </c>
      <c r="AH3">
        <f t="shared" si="4"/>
        <v>1714</v>
      </c>
      <c r="AI3" s="10">
        <f>IF((AG3)&lt;AH3,(AG3),IF((AG3)&gt;=AH3,AH3))</f>
        <v>347</v>
      </c>
      <c r="AJ3" s="10">
        <f>IF((AF3)&lt;AI3,(AI3),IF((AF3)&gt;=AI3,AF3))</f>
        <v>347</v>
      </c>
      <c r="AK3" s="15">
        <f>AJ3-AK2</f>
        <v>171</v>
      </c>
      <c r="AL3" s="235">
        <f>IF((AE3)&gt;AJ3,(AJ3-AL2),IF((AE3)&lt;=AJ3,AE3-AL2))</f>
        <v>171</v>
      </c>
      <c r="AN3" s="271">
        <f t="shared" si="5"/>
        <v>253</v>
      </c>
      <c r="AO3" s="15">
        <f>AN3-AO2</f>
        <v>129</v>
      </c>
    </row>
    <row r="4" spans="1:45">
      <c r="A4" s="236" t="s">
        <v>464</v>
      </c>
      <c r="B4" s="238">
        <v>3420</v>
      </c>
      <c r="C4" s="238">
        <f t="shared" si="6"/>
        <v>10360</v>
      </c>
      <c r="D4" s="239">
        <v>3428</v>
      </c>
      <c r="E4" s="239">
        <f>+E3+D4</f>
        <v>10284</v>
      </c>
      <c r="F4" s="240">
        <f t="shared" si="7"/>
        <v>41136</v>
      </c>
      <c r="G4" s="240">
        <f t="shared" si="0"/>
        <v>82272</v>
      </c>
      <c r="H4" s="240">
        <f>+IF(C4&lt;E4,C4-H3-H2,IF(C4&gt;E4,E4-H3-H2))</f>
        <v>3428</v>
      </c>
      <c r="I4" s="240">
        <f>+IF(C4&gt;E4,C4-E4-I3-I2,IF(C4&lt;E4,-I3-I2))</f>
        <v>-8</v>
      </c>
      <c r="J4" s="240">
        <f>+IF(C4&lt;F4,C4-J3-J2,IF(C4&gt;F4,F4-J3-J2))</f>
        <v>3420</v>
      </c>
      <c r="K4" s="240">
        <f>+IF(C4&lt;G4,C4-K3-K2,IF(C4&gt;G4,G4-K3-K2))</f>
        <v>3420</v>
      </c>
      <c r="L4" s="247">
        <v>1.7319999999999999E-2</v>
      </c>
      <c r="M4" s="15">
        <f t="shared" si="1"/>
        <v>59.372959999999992</v>
      </c>
      <c r="N4" s="15">
        <f t="shared" ref="N4:N13" si="12">+N3+M4</f>
        <v>178.11887999999999</v>
      </c>
      <c r="O4" s="15">
        <v>1.7319999999999999E-2</v>
      </c>
      <c r="P4">
        <f t="shared" si="8"/>
        <v>-0.13855999999999999</v>
      </c>
      <c r="Q4" s="15">
        <f t="shared" ref="Q4:Q13" si="13">+Q3+P4</f>
        <v>1.3163199999999999</v>
      </c>
      <c r="R4" s="252">
        <v>0.02</v>
      </c>
      <c r="S4">
        <f t="shared" si="9"/>
        <v>68.56</v>
      </c>
      <c r="T4" s="15">
        <f t="shared" ref="T4:T13" si="14">+T3+S4</f>
        <v>205.68</v>
      </c>
      <c r="U4">
        <f t="shared" si="10"/>
        <v>127.7944</v>
      </c>
      <c r="V4" s="15">
        <f t="shared" ref="V4:V13" si="15">E4*0.06</f>
        <v>617.04</v>
      </c>
      <c r="W4" s="15">
        <f t="shared" ref="W4:W13" si="16">+C4*0.015</f>
        <v>155.4</v>
      </c>
      <c r="X4" s="15">
        <f t="shared" si="11"/>
        <v>1234.08</v>
      </c>
      <c r="Y4" s="10">
        <f t="shared" ref="Y4:Y13" si="17">IF((V4+W4)&lt;X4,(V4+W4),IF((V4+W4)&gt;=X4,X4))</f>
        <v>772.43999999999994</v>
      </c>
      <c r="Z4" s="15">
        <f>Y4-Z3-Z2</f>
        <v>256.98000000000008</v>
      </c>
      <c r="AA4" s="235">
        <f>IF((N4+Q4+T4)&gt;Y4,(Y4-AA3-AA2),IF((N4+Q4+T4)&lt;=Y4,N4+Q4+T4-AA3-AA2))</f>
        <v>127.79439999999997</v>
      </c>
      <c r="AB4" s="271">
        <f>IF((N4+Q4+T4)&gt;Y4,((N4+Q4+T4)-Y4),IF((N4+Q4+T4)&lt;=Y4,0))</f>
        <v>0</v>
      </c>
      <c r="AC4" s="15">
        <f>AB4-AC3-AC2</f>
        <v>0</v>
      </c>
      <c r="AD4">
        <v>4000</v>
      </c>
      <c r="AE4" s="15">
        <f t="shared" ref="AE4:AE13" si="18">+AE3+AD4</f>
        <v>4600</v>
      </c>
      <c r="AF4">
        <f t="shared" si="2"/>
        <v>514.20000000000005</v>
      </c>
      <c r="AG4">
        <f t="shared" si="3"/>
        <v>518</v>
      </c>
      <c r="AH4">
        <f t="shared" si="4"/>
        <v>2571</v>
      </c>
      <c r="AI4" s="10">
        <f t="shared" ref="AI4:AI13" si="19">IF((AG4)&lt;AH4,(AG4),IF((AG4)&gt;=AH4,AH4))</f>
        <v>518</v>
      </c>
      <c r="AJ4" s="10">
        <f t="shared" ref="AJ4:AJ13" si="20">IF((AF4)&lt;AI4,(AI4),IF((AF4)&gt;=AI4,AF4))</f>
        <v>518</v>
      </c>
      <c r="AK4" s="15">
        <f>AJ4-AK3-AK2</f>
        <v>171</v>
      </c>
      <c r="AL4" s="235">
        <f>IF((AE4)&gt;AJ4,(AJ4-AL3-AL2),IF((AE4)&lt;=AJ4,AE4-AL3-AL2))</f>
        <v>171</v>
      </c>
      <c r="AN4" s="271">
        <f t="shared" si="5"/>
        <v>4082</v>
      </c>
      <c r="AO4" s="15">
        <f>AN4-AO3-AO2</f>
        <v>3829</v>
      </c>
    </row>
    <row r="5" spans="1:45">
      <c r="A5" s="236" t="s">
        <v>465</v>
      </c>
      <c r="B5" s="238">
        <v>3420</v>
      </c>
      <c r="C5" s="241">
        <f t="shared" si="6"/>
        <v>13780</v>
      </c>
      <c r="D5" s="239">
        <v>3428</v>
      </c>
      <c r="E5" s="239">
        <f t="shared" ref="E5:E13" si="21">+E4+D5</f>
        <v>13712</v>
      </c>
      <c r="F5" s="240">
        <f t="shared" si="7"/>
        <v>54848</v>
      </c>
      <c r="G5" s="240">
        <f t="shared" si="0"/>
        <v>109696</v>
      </c>
      <c r="H5" s="240">
        <f>+IF(C5&lt;E5,C5-H4-H3-H2,IF(C5&gt;E5,E5-H4-H3-H2))</f>
        <v>3428</v>
      </c>
      <c r="I5" s="240">
        <f>+IF(C5&gt;E5,C5-E5-I4-I3-I2,IF(C5&lt;E5,-I4-I3-I2))</f>
        <v>-8</v>
      </c>
      <c r="J5" s="240">
        <f>+IF(C5&lt;F5,C5-J4-J3-J2,IF(C5&gt;F5,F5-J4-J3-J2))</f>
        <v>3420</v>
      </c>
      <c r="K5" s="240">
        <f>+IF(C5&lt;G5,C5-K4-K3-K2,IF(C5&gt;G5,G5-K4-K3-K2))</f>
        <v>3420</v>
      </c>
      <c r="L5" s="247">
        <v>1.7319999999999999E-2</v>
      </c>
      <c r="M5" s="15">
        <f t="shared" si="1"/>
        <v>59.372959999999992</v>
      </c>
      <c r="N5" s="15">
        <f>+N4+M5</f>
        <v>237.49183999999997</v>
      </c>
      <c r="O5" s="15">
        <v>1.7319999999999999E-2</v>
      </c>
      <c r="P5">
        <f t="shared" si="8"/>
        <v>-0.13855999999999999</v>
      </c>
      <c r="Q5" s="15">
        <f t="shared" si="13"/>
        <v>1.1777599999999999</v>
      </c>
      <c r="R5" s="252">
        <v>0.02</v>
      </c>
      <c r="S5">
        <f t="shared" si="9"/>
        <v>68.56</v>
      </c>
      <c r="T5" s="15">
        <f t="shared" si="14"/>
        <v>274.24</v>
      </c>
      <c r="U5">
        <f t="shared" si="10"/>
        <v>127.7944</v>
      </c>
      <c r="V5" s="15">
        <f>E5*0.06</f>
        <v>822.71999999999991</v>
      </c>
      <c r="W5" s="15">
        <f t="shared" si="16"/>
        <v>206.7</v>
      </c>
      <c r="X5" s="15">
        <f t="shared" si="11"/>
        <v>1645.4399999999998</v>
      </c>
      <c r="Y5" s="10">
        <f t="shared" si="17"/>
        <v>1029.4199999999998</v>
      </c>
      <c r="Z5" s="15">
        <f>Y5-Z4-Z3-Z2</f>
        <v>256.97999999999985</v>
      </c>
      <c r="AA5" s="235">
        <f>IF((N5+Q5+T5)&gt;Y5,(Y5-AA4-AA3-AA2),IF((N5+Q5+T5)&lt;=Y5,N5+Q5+T5-AA4-AA3-AA2))</f>
        <v>127.79439999999997</v>
      </c>
      <c r="AB5" s="271">
        <f t="shared" ref="AB5:AB13" si="22">IF((N5+Q5+T5)&gt;Y5,((N5+Q5+T5)-Y5),IF((N5+Q5+T5)&lt;=Y5,0))</f>
        <v>0</v>
      </c>
      <c r="AC5" s="15">
        <f>AB5-AC4-AC3-AC2</f>
        <v>0</v>
      </c>
      <c r="AD5">
        <v>4000</v>
      </c>
      <c r="AE5" s="15">
        <f t="shared" si="18"/>
        <v>8600</v>
      </c>
      <c r="AF5">
        <f t="shared" si="2"/>
        <v>685.6</v>
      </c>
      <c r="AG5">
        <f t="shared" si="3"/>
        <v>689</v>
      </c>
      <c r="AH5">
        <f t="shared" si="4"/>
        <v>3428</v>
      </c>
      <c r="AI5" s="10">
        <f t="shared" si="19"/>
        <v>689</v>
      </c>
      <c r="AJ5" s="10">
        <f t="shared" si="20"/>
        <v>689</v>
      </c>
      <c r="AK5" s="15">
        <f>AJ5-AK4-AK3-AK2</f>
        <v>171</v>
      </c>
      <c r="AL5" s="235">
        <f>IF((AE5)&gt;AJ5,(AJ5-AL4-AL3-AL2),IF((AE5)&lt;=AJ5,AE5-AL4-AL3-AL2))</f>
        <v>171</v>
      </c>
      <c r="AN5" s="271">
        <f t="shared" si="5"/>
        <v>7911</v>
      </c>
      <c r="AO5" s="15">
        <f>AN5-AO4-AO3-AO2</f>
        <v>3829</v>
      </c>
    </row>
    <row r="6" spans="1:45">
      <c r="A6" s="236" t="s">
        <v>466</v>
      </c>
      <c r="B6" s="238">
        <v>3420</v>
      </c>
      <c r="C6" s="241">
        <f t="shared" si="6"/>
        <v>17200</v>
      </c>
      <c r="D6" s="239">
        <v>3428</v>
      </c>
      <c r="E6" s="239">
        <f t="shared" si="21"/>
        <v>17140</v>
      </c>
      <c r="F6" s="240">
        <f t="shared" si="7"/>
        <v>68560</v>
      </c>
      <c r="G6" s="240">
        <f t="shared" si="0"/>
        <v>137120</v>
      </c>
      <c r="H6" s="240">
        <f>+IF(C6&lt;E6,C6-H5-H4-H3-H2,IF(C6&gt;E6,E6-H5-H4-H3-H2))</f>
        <v>3428</v>
      </c>
      <c r="I6" s="240">
        <f>+IF(C6&gt;E6,C6-E6-I5-I4-I3-I2,IF(C6&lt;E6,-I5-I4-I3-I2))</f>
        <v>-8</v>
      </c>
      <c r="J6" s="240">
        <f>+IF(C6&lt;F6,C6-J5-J4-J3-J2,IF(C6&gt;F6,F6-J5-J4-J3-J2))</f>
        <v>3420</v>
      </c>
      <c r="K6" s="240">
        <f>+IF(C6&lt;G6,C6-K5-K4-K3-K2,IF(C6&gt;G6,G6-K5-K4-K3-K2))</f>
        <v>3420</v>
      </c>
      <c r="L6" s="247">
        <v>1.7319999999999999E-2</v>
      </c>
      <c r="M6" s="15">
        <f t="shared" si="1"/>
        <v>59.372959999999992</v>
      </c>
      <c r="N6" s="15">
        <f t="shared" si="12"/>
        <v>296.86479999999995</v>
      </c>
      <c r="O6" s="15">
        <v>1.7319999999999999E-2</v>
      </c>
      <c r="P6">
        <f t="shared" si="8"/>
        <v>-0.13855999999999999</v>
      </c>
      <c r="Q6" s="15">
        <f t="shared" si="13"/>
        <v>1.0391999999999999</v>
      </c>
      <c r="R6" s="252">
        <v>0.02</v>
      </c>
      <c r="S6">
        <f t="shared" si="9"/>
        <v>68.56</v>
      </c>
      <c r="T6" s="15">
        <f t="shared" si="14"/>
        <v>342.8</v>
      </c>
      <c r="U6">
        <f t="shared" si="10"/>
        <v>127.7944</v>
      </c>
      <c r="V6" s="15">
        <f t="shared" si="15"/>
        <v>1028.3999999999999</v>
      </c>
      <c r="W6" s="15">
        <f t="shared" si="16"/>
        <v>258</v>
      </c>
      <c r="X6" s="15">
        <f t="shared" si="11"/>
        <v>2056.7999999999997</v>
      </c>
      <c r="Y6" s="10">
        <f t="shared" si="17"/>
        <v>1286.3999999999999</v>
      </c>
      <c r="Z6" s="15">
        <f>Y6-Z5-Z4-Z3-Z2</f>
        <v>256.98000000000008</v>
      </c>
      <c r="AA6" s="235">
        <f>IF((N6+Q6+T6)&gt;Y6,(Y6-AA5-AA4-AA3-AA2),IF((N6+Q6+T6)&lt;=Y6,N6+Q6+T6-AA5-AA4-AA3-AA2))</f>
        <v>127.79439999999997</v>
      </c>
      <c r="AB6" s="271">
        <f t="shared" si="22"/>
        <v>0</v>
      </c>
      <c r="AC6" s="15">
        <f>AB6-AC5-AC4-AC3-AC2</f>
        <v>0</v>
      </c>
      <c r="AD6">
        <v>4000</v>
      </c>
      <c r="AE6" s="15">
        <f t="shared" si="18"/>
        <v>12600</v>
      </c>
      <c r="AF6">
        <f t="shared" si="2"/>
        <v>857</v>
      </c>
      <c r="AG6">
        <f t="shared" si="3"/>
        <v>860</v>
      </c>
      <c r="AH6">
        <f t="shared" si="4"/>
        <v>4285</v>
      </c>
      <c r="AI6" s="10">
        <f t="shared" si="19"/>
        <v>860</v>
      </c>
      <c r="AJ6" s="10">
        <f t="shared" si="20"/>
        <v>860</v>
      </c>
      <c r="AK6" s="15">
        <f>AJ6-AK5-AK4-AK3-AK2</f>
        <v>171</v>
      </c>
      <c r="AL6" s="235">
        <f>IF((AE6)&gt;AJ6,(AJ6-AL5-AL4-AL3-AL2),IF((AE6)&lt;=AJ6,AE6-AL5-AL4-AL3-AL2))</f>
        <v>171</v>
      </c>
      <c r="AN6" s="271">
        <f t="shared" si="5"/>
        <v>11740</v>
      </c>
      <c r="AO6" s="15">
        <f>AN6-AO5-AO4-AO3-AO2</f>
        <v>3829</v>
      </c>
    </row>
    <row r="7" spans="1:45">
      <c r="A7" s="236" t="s">
        <v>467</v>
      </c>
      <c r="B7" s="238">
        <v>3420</v>
      </c>
      <c r="C7" s="242">
        <f t="shared" si="6"/>
        <v>20620</v>
      </c>
      <c r="D7" s="239">
        <v>3428</v>
      </c>
      <c r="E7" s="239">
        <f t="shared" si="21"/>
        <v>20568</v>
      </c>
      <c r="F7" s="243">
        <f t="shared" si="7"/>
        <v>82272</v>
      </c>
      <c r="G7" s="243">
        <f t="shared" si="0"/>
        <v>164544</v>
      </c>
      <c r="H7" s="240">
        <f>+IF(C7&lt;E7,C7-H6-H5-H4-H3-H2,IF(C7&gt;E7,E7-H6-H5-H4-H3-H2))</f>
        <v>3428</v>
      </c>
      <c r="I7" s="240">
        <f>+IF(C7&gt;E7,C7-E7-I6-I5-I4-I3-I2,IF(C7&lt;E7,-I6-I5-I4-I3-I2))</f>
        <v>-8</v>
      </c>
      <c r="J7" s="240">
        <f>+IF(C7&lt;F7,C7-J6-J5-J4-J3-J2,IF(C7&gt;F7,F7-J6-J5-J4-J3-J2))</f>
        <v>3420</v>
      </c>
      <c r="K7" s="240">
        <f>+IF(C7&lt;G7,C7-K6-K5-K4-K3-K2,IF(C7&gt;G7,G7-K6-K5-K4-K3-K2))</f>
        <v>3420</v>
      </c>
      <c r="L7" s="247">
        <v>1.7319999999999999E-2</v>
      </c>
      <c r="M7" s="15">
        <f t="shared" si="1"/>
        <v>59.372959999999992</v>
      </c>
      <c r="N7" s="15">
        <f t="shared" si="12"/>
        <v>356.23775999999992</v>
      </c>
      <c r="O7" s="15">
        <v>1.7319999999999999E-2</v>
      </c>
      <c r="P7">
        <f t="shared" si="8"/>
        <v>-0.13855999999999999</v>
      </c>
      <c r="Q7" s="15">
        <f t="shared" si="13"/>
        <v>0.90063999999999989</v>
      </c>
      <c r="R7" s="252">
        <v>0.02</v>
      </c>
      <c r="S7">
        <f t="shared" si="9"/>
        <v>68.56</v>
      </c>
      <c r="T7" s="15">
        <f t="shared" si="14"/>
        <v>411.36</v>
      </c>
      <c r="U7">
        <f>M7+P7+S7</f>
        <v>127.7944</v>
      </c>
      <c r="V7" s="15">
        <f t="shared" si="15"/>
        <v>1234.08</v>
      </c>
      <c r="W7" s="15">
        <f t="shared" si="16"/>
        <v>309.3</v>
      </c>
      <c r="X7" s="15">
        <f t="shared" si="11"/>
        <v>2468.16</v>
      </c>
      <c r="Y7" s="10">
        <f t="shared" si="17"/>
        <v>1543.3799999999999</v>
      </c>
      <c r="Z7" s="15">
        <f>Y7-Z6-Z5-Z4-Z3-Z2</f>
        <v>256.98000000000008</v>
      </c>
      <c r="AA7" s="257">
        <f>IF((N7+Q7+T7)&gt;Y7,(Y7-AA6-AA5-AA4-AA3-AA2),IF((N7+Q7+T7)&lt;=Y7,N7+Q7+T7-AA6-AA5-AA4-AA3-AA2))</f>
        <v>127.79439999999997</v>
      </c>
      <c r="AB7" s="271">
        <f t="shared" si="22"/>
        <v>0</v>
      </c>
      <c r="AC7" s="15">
        <f>AB7-AC6-AC5-AC4-AC3-AC2</f>
        <v>0</v>
      </c>
      <c r="AD7">
        <v>300</v>
      </c>
      <c r="AE7" s="15">
        <f t="shared" si="18"/>
        <v>12900</v>
      </c>
      <c r="AF7">
        <f t="shared" si="2"/>
        <v>1028.4000000000001</v>
      </c>
      <c r="AG7">
        <f t="shared" si="3"/>
        <v>1031</v>
      </c>
      <c r="AH7">
        <f t="shared" si="4"/>
        <v>5142</v>
      </c>
      <c r="AI7" s="10">
        <f t="shared" si="19"/>
        <v>1031</v>
      </c>
      <c r="AJ7" s="10">
        <f t="shared" si="20"/>
        <v>1031</v>
      </c>
      <c r="AK7" s="15">
        <f>AJ7-AK6-AK5-AK4-AK3-AK2</f>
        <v>171</v>
      </c>
      <c r="AL7" s="235">
        <f>IF((AE7)&gt;AJ7,(AJ7-AL6-AL5-AL4-AL3-AL2),IF((AE7)&lt;=AJ7,AE7-AL6-AL5-AL4-AL3-AL2))</f>
        <v>171</v>
      </c>
      <c r="AN7" s="271">
        <f t="shared" si="5"/>
        <v>11869</v>
      </c>
      <c r="AO7" s="15">
        <f>AN7-AO6-AO5-AO4-AO3-AO2</f>
        <v>129</v>
      </c>
    </row>
    <row r="8" spans="1:45">
      <c r="A8" s="236" t="s">
        <v>469</v>
      </c>
      <c r="B8" s="238">
        <v>2420</v>
      </c>
      <c r="C8" s="244">
        <f t="shared" si="6"/>
        <v>23040</v>
      </c>
      <c r="D8" s="239">
        <v>3428</v>
      </c>
      <c r="E8" s="239">
        <f t="shared" si="21"/>
        <v>23996</v>
      </c>
      <c r="F8" s="240">
        <f t="shared" si="7"/>
        <v>95984</v>
      </c>
      <c r="G8" s="240">
        <f t="shared" si="0"/>
        <v>191968</v>
      </c>
      <c r="H8" s="240">
        <f>+IF(C8&lt;E8,C8-H7-H6-H5-H4-H3-H2,IF(C8&gt;E8,E8-H7-H6-H5-H4-H3-H2))</f>
        <v>2472</v>
      </c>
      <c r="I8" s="240">
        <f>+IF(C8&gt;E8,C8-E8-I7-I6-I5-I4-I3-I2,IF(C8&lt;E8,-I7-I6-I5-I4-I3-I2))</f>
        <v>-52</v>
      </c>
      <c r="J8" s="240">
        <f>+IF(C8&lt;F8,C8-J7-J6-J5-J4-J3-J2,IF(C8&gt;F8,F8-J7-J6-J5-J4-J3-J2))</f>
        <v>2420</v>
      </c>
      <c r="K8" s="240">
        <f>+IF(C8&lt;G8,C8-K7-K6-K5-K4-K3-K2,IF(C8&gt;G8,G8-K7-K6-K5-K4-K3-K2))</f>
        <v>2420</v>
      </c>
      <c r="L8" s="247">
        <v>1.7319999999999999E-2</v>
      </c>
      <c r="M8" s="15">
        <f t="shared" ref="M8:M13" si="23">H8*L8</f>
        <v>42.815039999999996</v>
      </c>
      <c r="N8" s="15">
        <f t="shared" si="12"/>
        <v>399.05279999999993</v>
      </c>
      <c r="O8" s="15">
        <v>1.7319999999999999E-2</v>
      </c>
      <c r="P8">
        <f t="shared" si="8"/>
        <v>-0.90063999999999989</v>
      </c>
      <c r="Q8" s="15">
        <f t="shared" si="13"/>
        <v>0</v>
      </c>
      <c r="R8" s="252">
        <v>0.02</v>
      </c>
      <c r="S8">
        <f t="shared" si="9"/>
        <v>49.44</v>
      </c>
      <c r="T8" s="15">
        <f t="shared" si="14"/>
        <v>460.8</v>
      </c>
      <c r="U8">
        <f t="shared" si="10"/>
        <v>91.354399999999998</v>
      </c>
      <c r="V8" s="15">
        <f t="shared" si="15"/>
        <v>1439.76</v>
      </c>
      <c r="W8" s="15">
        <f t="shared" si="16"/>
        <v>345.59999999999997</v>
      </c>
      <c r="X8" s="15">
        <f t="shared" si="11"/>
        <v>2879.52</v>
      </c>
      <c r="Y8" s="10">
        <f t="shared" si="17"/>
        <v>1785.36</v>
      </c>
      <c r="Z8" s="15">
        <f>Y8-Z7-Z6-Z5-Z4-Z3-Z2</f>
        <v>241.98000000000013</v>
      </c>
      <c r="AA8" s="257">
        <f>IF((N8+Q8+T8)&gt;Y8,(Y8-AA7-AA6-AA5-AA4-AA3-AA2),IF((N8+Q8+T8)&lt;=Y8,N8+Q8+T8-AA7-AA6-AA5-AA4-AA3-AA2))</f>
        <v>91.354399999999941</v>
      </c>
      <c r="AB8" s="271">
        <f t="shared" si="22"/>
        <v>0</v>
      </c>
      <c r="AC8" s="15">
        <f>AB8-AC7-AC6-AC5-AC4-AC3-AC2</f>
        <v>0</v>
      </c>
      <c r="AD8">
        <v>300</v>
      </c>
      <c r="AE8" s="15">
        <f t="shared" si="18"/>
        <v>13200</v>
      </c>
      <c r="AF8">
        <f t="shared" si="2"/>
        <v>1199.8</v>
      </c>
      <c r="AG8">
        <f t="shared" si="3"/>
        <v>1152</v>
      </c>
      <c r="AH8">
        <f t="shared" si="4"/>
        <v>5999</v>
      </c>
      <c r="AI8" s="10">
        <f t="shared" si="19"/>
        <v>1152</v>
      </c>
      <c r="AJ8" s="10">
        <f t="shared" si="20"/>
        <v>1199.8</v>
      </c>
      <c r="AK8" s="15">
        <f>AJ8-AK7-AK6-AK5-AK4-AK3-AK2</f>
        <v>168.79999999999995</v>
      </c>
      <c r="AL8" s="235">
        <f>IF((AE8)&gt;AJ8,(AJ8-AL7-AL6-AL5-AL4-AL3-AL2),IF((AE8)&lt;=AJ8,AE8-AL7-AL6-AL5-AL4-AL3-AL2))</f>
        <v>168.79999999999995</v>
      </c>
      <c r="AN8" s="271">
        <f t="shared" si="5"/>
        <v>12000.2</v>
      </c>
      <c r="AO8" s="15">
        <f>AN8-AO7-AO6-AO5-AO4-AO3-AO2</f>
        <v>131.20000000000073</v>
      </c>
    </row>
    <row r="9" spans="1:45">
      <c r="A9" s="236" t="s">
        <v>470</v>
      </c>
      <c r="B9" s="238">
        <v>2420</v>
      </c>
      <c r="C9" s="241">
        <f t="shared" si="6"/>
        <v>25460</v>
      </c>
      <c r="D9" s="239">
        <v>3428</v>
      </c>
      <c r="E9" s="239">
        <f t="shared" si="21"/>
        <v>27424</v>
      </c>
      <c r="F9" s="240">
        <f t="shared" si="7"/>
        <v>109696</v>
      </c>
      <c r="G9" s="240">
        <f t="shared" si="0"/>
        <v>219392</v>
      </c>
      <c r="H9" s="240">
        <f>+IF(C9&lt;E9,C9-H8-H7-H6-H5-H4-H3-H2,IF(C9&gt;E9,E9-H8-H7-H6-H5-H4-H3-H2))</f>
        <v>2420</v>
      </c>
      <c r="I9" s="240">
        <f>+IF(C9&gt;E9,C9-E9-I8-I7-I6-I5-I4-I3-I2,IF(C9&lt;E9,-I8-I7-I6-I5-I4-I3-I2))</f>
        <v>0</v>
      </c>
      <c r="J9" s="240">
        <f>+IF(C9&lt;F9,C9-J8-J7-J6-J5-J4-J3-J2,IF(C9&gt;F9,F9-J8-J7-J6-J5-J4-J3-J2))</f>
        <v>2420</v>
      </c>
      <c r="K9" s="240">
        <f>+IF(C9&lt;G9,C9-K8-K7-K6-K5-K4-K3-K2,IF(C9&gt;G9,G9-K8-K7-K6-K5-K4-K3-K2))</f>
        <v>2420</v>
      </c>
      <c r="L9" s="247">
        <v>1.7319999999999999E-2</v>
      </c>
      <c r="M9" s="15">
        <f t="shared" si="23"/>
        <v>41.914399999999993</v>
      </c>
      <c r="N9" s="15">
        <f t="shared" si="12"/>
        <v>440.96719999999993</v>
      </c>
      <c r="O9" s="15">
        <v>1.7319999999999999E-2</v>
      </c>
      <c r="P9">
        <f t="shared" si="8"/>
        <v>0</v>
      </c>
      <c r="Q9" s="15">
        <f t="shared" si="13"/>
        <v>0</v>
      </c>
      <c r="R9" s="252">
        <v>0.02</v>
      </c>
      <c r="S9">
        <f t="shared" si="9"/>
        <v>48.4</v>
      </c>
      <c r="T9" s="15">
        <f t="shared" si="14"/>
        <v>509.2</v>
      </c>
      <c r="U9">
        <f t="shared" si="10"/>
        <v>90.314399999999992</v>
      </c>
      <c r="V9" s="15">
        <f t="shared" si="15"/>
        <v>1645.4399999999998</v>
      </c>
      <c r="W9" s="15">
        <f t="shared" si="16"/>
        <v>381.9</v>
      </c>
      <c r="X9" s="15">
        <f t="shared" si="11"/>
        <v>3290.8799999999997</v>
      </c>
      <c r="Y9" s="10">
        <f t="shared" si="17"/>
        <v>2027.3399999999997</v>
      </c>
      <c r="Z9" s="15">
        <f>Y9-Z8-Z7-Z6-Z5-Z4-Z3-Z2</f>
        <v>241.9799999999999</v>
      </c>
      <c r="AA9" s="257">
        <f>IF((N9+Q9+T9)&gt;Y9,(Y9-AA8-AA7-AA6-AA5-AA4-AA3-AA2),IF((N9+Q9+T9)&lt;=Y9,N9+Q9+T9-AA8-AA7-AA6-AA5-AA4-AA3-AA2))</f>
        <v>90.314399999999978</v>
      </c>
      <c r="AB9" s="271">
        <f t="shared" si="22"/>
        <v>0</v>
      </c>
      <c r="AC9" s="15">
        <f>AB9-AC8-AC7-AC6-AC5-AC4-AC3-AC2</f>
        <v>0</v>
      </c>
      <c r="AD9">
        <v>300</v>
      </c>
      <c r="AE9" s="15">
        <f t="shared" si="18"/>
        <v>13500</v>
      </c>
      <c r="AF9">
        <f t="shared" si="2"/>
        <v>1371.2</v>
      </c>
      <c r="AG9">
        <f t="shared" si="3"/>
        <v>1273</v>
      </c>
      <c r="AH9">
        <f t="shared" si="4"/>
        <v>6856</v>
      </c>
      <c r="AI9" s="10">
        <f t="shared" si="19"/>
        <v>1273</v>
      </c>
      <c r="AJ9" s="10">
        <f t="shared" si="20"/>
        <v>1371.2</v>
      </c>
      <c r="AK9" s="15">
        <f>AJ9-AK8-AK7-AK6-AK5-AK4-AK3-AK2</f>
        <v>171.40000000000009</v>
      </c>
      <c r="AL9" s="235">
        <f>IF((AE9)&gt;AJ9,(AJ9-AL8-AL7-AL6-AL5-AL4-AL3-AL2),IF((AE9)&lt;=AJ9,AE9-AL8-AL7-AL6-AL5-AL4-AL3-AL2))</f>
        <v>171.40000000000009</v>
      </c>
      <c r="AN9" s="271">
        <f t="shared" si="5"/>
        <v>12128.8</v>
      </c>
      <c r="AO9" s="15">
        <f>AN9-AO8-AO7-AO6-AO5-AO4-AO3-AO2</f>
        <v>128.59999999999854</v>
      </c>
    </row>
    <row r="10" spans="1:45">
      <c r="A10" s="236" t="s">
        <v>471</v>
      </c>
      <c r="B10" s="238">
        <v>2420</v>
      </c>
      <c r="C10" s="241">
        <f t="shared" si="6"/>
        <v>27880</v>
      </c>
      <c r="D10" s="239">
        <v>3428</v>
      </c>
      <c r="E10" s="239">
        <f t="shared" si="21"/>
        <v>30852</v>
      </c>
      <c r="F10" s="240">
        <f t="shared" si="7"/>
        <v>123408</v>
      </c>
      <c r="G10" s="240">
        <f t="shared" si="0"/>
        <v>246816</v>
      </c>
      <c r="H10" s="240">
        <f>+IF(C10&lt;E10,C10-H9-H8-H7-H6-H5-H4-H3-H2,IF(C10&gt;E10,E10-H9-H8-H7-H6-H5-H4-H3-H2))</f>
        <v>2420</v>
      </c>
      <c r="I10" s="240">
        <f>+IF(C10&gt;E10,C10-E10-I9-I8-I7-I6-I5-I4-I3-I2,IF(C10&lt;E10,-I9-I8-I7-I6-I5-I4-I3-I2))</f>
        <v>0</v>
      </c>
      <c r="J10" s="240">
        <f>+IF(C10&lt;F10,C10-J9-J8-J7-J6-J5-J4-J3-J2,IF(C10&gt;F10,F10-J9-J8-J7-J6-J5-J4-J3-J2))</f>
        <v>2420</v>
      </c>
      <c r="K10" s="243">
        <f>+IF(C10&lt;G10,C10-K9-K8-K7-K6-K5-K4-K3-K2,IF(C10&gt;G10,G10-K9-K8-K7-K6-K5-K4-K3-K2))</f>
        <v>2420</v>
      </c>
      <c r="L10" s="248">
        <v>1.7319999999999999E-2</v>
      </c>
      <c r="M10" s="15">
        <f t="shared" si="23"/>
        <v>41.914399999999993</v>
      </c>
      <c r="N10" s="15">
        <f t="shared" si="12"/>
        <v>482.88159999999993</v>
      </c>
      <c r="O10" s="15">
        <v>1.7319999999999999E-2</v>
      </c>
      <c r="P10">
        <f t="shared" si="8"/>
        <v>0</v>
      </c>
      <c r="Q10" s="15">
        <f t="shared" si="13"/>
        <v>0</v>
      </c>
      <c r="R10" s="252">
        <v>0.02</v>
      </c>
      <c r="S10">
        <f t="shared" si="9"/>
        <v>48.4</v>
      </c>
      <c r="T10" s="15">
        <f t="shared" si="14"/>
        <v>557.6</v>
      </c>
      <c r="U10">
        <f t="shared" si="10"/>
        <v>90.314399999999992</v>
      </c>
      <c r="V10" s="15">
        <f t="shared" si="15"/>
        <v>1851.12</v>
      </c>
      <c r="W10" s="15">
        <f t="shared" si="16"/>
        <v>418.2</v>
      </c>
      <c r="X10" s="15">
        <f t="shared" si="11"/>
        <v>3702.24</v>
      </c>
      <c r="Y10" s="10">
        <f t="shared" si="17"/>
        <v>2269.3199999999997</v>
      </c>
      <c r="Z10" s="15">
        <f>Y10-Z9-Z8-Z7-Z6-Z5-Z4-Z3-Z2</f>
        <v>241.9799999999999</v>
      </c>
      <c r="AA10" s="257">
        <f>IF((N10+Q10+T10)&gt;Y10,(Y10-AA9-AA8-AA7-AA6-AA5-AA4-AA3-AA2),IF((N10+Q10+T10)&lt;=Y10,N10+Q10+T10-AA9-AA8-AA7-AA6-AA5-AA4-AA3-AA2))</f>
        <v>90.314400000000205</v>
      </c>
      <c r="AB10" s="271">
        <f t="shared" si="22"/>
        <v>0</v>
      </c>
      <c r="AC10" s="15">
        <f>AB10-AC9-AC8-AC7-AC6-AC5-AC4-AC3-AC2</f>
        <v>0</v>
      </c>
      <c r="AD10">
        <v>300</v>
      </c>
      <c r="AE10" s="15">
        <f t="shared" si="18"/>
        <v>13800</v>
      </c>
      <c r="AF10">
        <f t="shared" si="2"/>
        <v>1542.6000000000001</v>
      </c>
      <c r="AG10">
        <f t="shared" si="3"/>
        <v>1394</v>
      </c>
      <c r="AH10">
        <f t="shared" si="4"/>
        <v>7713.0000000000009</v>
      </c>
      <c r="AI10" s="10">
        <f t="shared" si="19"/>
        <v>1394</v>
      </c>
      <c r="AJ10" s="10">
        <f t="shared" si="20"/>
        <v>1542.6000000000001</v>
      </c>
      <c r="AK10" s="15">
        <f>AJ10-AK9-AK8-AK7-AK6-AK5-AK4-AK3-AK2</f>
        <v>171.40000000000009</v>
      </c>
      <c r="AL10" s="235">
        <f>IF((AE10)&gt;AJ10,(AJ10-AL9-AL8-AL7-AL6-AL5-AL4-AL3-AL2),IF((AE10)&lt;=AJ10,AE10-AL9-AL8-AL7-AL6-AL5-AL4-AL3-AL2))</f>
        <v>171.40000000000009</v>
      </c>
      <c r="AN10" s="271">
        <f t="shared" si="5"/>
        <v>12257.4</v>
      </c>
      <c r="AO10" s="15">
        <f>AN10-AO9-AO8-AO7-AO6-AO5-AO4-AO3-AO2</f>
        <v>128.60000000000036</v>
      </c>
    </row>
    <row r="11" spans="1:45">
      <c r="A11" s="236" t="s">
        <v>472</v>
      </c>
      <c r="B11" s="238">
        <v>3420</v>
      </c>
      <c r="C11" s="241">
        <f t="shared" si="6"/>
        <v>31300</v>
      </c>
      <c r="D11" s="239">
        <v>3428</v>
      </c>
      <c r="E11" s="239">
        <f t="shared" si="21"/>
        <v>34280</v>
      </c>
      <c r="F11" s="240">
        <f t="shared" si="7"/>
        <v>137120</v>
      </c>
      <c r="G11" s="240">
        <f t="shared" si="0"/>
        <v>274240</v>
      </c>
      <c r="H11" s="240">
        <f>+IF(C11&lt;E11,C11-H10-H9-H8-H7-H6-H5-H4-H3-H2,IF(C11&gt;E11,E11-H10-H9-H8-H7-H6-H5-H4-H3-H2))</f>
        <v>3420</v>
      </c>
      <c r="I11" s="240">
        <f>+IF(C11&gt;E11,C11-E11-I10-I9-I8-I7-I6-I5-I4-I3-I2,IF(C11&lt;E11,-I10-I9-I8-I7-I6-I5-I4-I3-I2))</f>
        <v>0</v>
      </c>
      <c r="J11" s="240">
        <f>+IF(C11&lt;F11,C11-J10-J9-J8-J7-J6-J5-J4-J3-J2,IF(C11&gt;F11,F11-J10-J9-J8-J7-J6-J5-J4-J3-J2))</f>
        <v>3420</v>
      </c>
      <c r="K11" s="240">
        <f>+IF(C11&lt;G11,C11-K10-K9-K8-K7-K6-K5-K4-K3-K2,IF(C11&gt;G11,G11-K10-K9-K8-K7-K6-K5-K4-K3-K2))</f>
        <v>3420</v>
      </c>
      <c r="L11" s="247">
        <v>1.7319999999999999E-2</v>
      </c>
      <c r="M11" s="15">
        <f t="shared" si="23"/>
        <v>59.234399999999994</v>
      </c>
      <c r="N11" s="15">
        <f t="shared" si="12"/>
        <v>542.11599999999999</v>
      </c>
      <c r="O11" s="15">
        <v>1.7319999999999999E-2</v>
      </c>
      <c r="P11">
        <f t="shared" si="8"/>
        <v>0</v>
      </c>
      <c r="Q11" s="15">
        <f t="shared" si="13"/>
        <v>0</v>
      </c>
      <c r="R11" s="252">
        <v>0.02</v>
      </c>
      <c r="S11">
        <f t="shared" si="9"/>
        <v>68.400000000000006</v>
      </c>
      <c r="T11" s="15">
        <f t="shared" si="14"/>
        <v>626</v>
      </c>
      <c r="U11">
        <f t="shared" si="10"/>
        <v>127.6344</v>
      </c>
      <c r="V11" s="15">
        <f t="shared" si="15"/>
        <v>2056.7999999999997</v>
      </c>
      <c r="W11" s="15">
        <f t="shared" si="16"/>
        <v>469.5</v>
      </c>
      <c r="X11" s="15">
        <f t="shared" si="11"/>
        <v>4113.5999999999995</v>
      </c>
      <c r="Y11" s="10">
        <f t="shared" si="17"/>
        <v>2526.2999999999997</v>
      </c>
      <c r="Z11" s="15">
        <f>Y11-Z10-Z9-Z8-Z7-Z6-Z5-Z4-Z3-Z2</f>
        <v>256.97999999999985</v>
      </c>
      <c r="AA11" s="257">
        <f>IF((N11+Q11+T11)&gt;Y11,(Y11-AA10-AA9-AA8-AA7-AA6-AA5-AA4-AA3-AA2),IF((N11+Q11+T11)&lt;=Y11,N11+Q11+T11-AA10-AA9-AA8-AA7-AA6-AA5-AA4-AA3-AA2))</f>
        <v>127.63439999999989</v>
      </c>
      <c r="AB11" s="271">
        <f t="shared" si="22"/>
        <v>0</v>
      </c>
      <c r="AC11" s="15">
        <f>AB11-AC10-AC9-AC8-AC7-AC6-AC5-AC4-AC3-AC2</f>
        <v>0</v>
      </c>
      <c r="AD11">
        <v>300</v>
      </c>
      <c r="AE11" s="15">
        <f t="shared" si="18"/>
        <v>14100</v>
      </c>
      <c r="AF11">
        <f t="shared" si="2"/>
        <v>1714</v>
      </c>
      <c r="AG11">
        <f t="shared" si="3"/>
        <v>1565</v>
      </c>
      <c r="AH11">
        <f t="shared" si="4"/>
        <v>8570</v>
      </c>
      <c r="AI11" s="10">
        <f t="shared" si="19"/>
        <v>1565</v>
      </c>
      <c r="AJ11" s="10">
        <f t="shared" si="20"/>
        <v>1714</v>
      </c>
      <c r="AK11" s="15">
        <f>AJ11-AK10-AK9-AK8-AK7-AK6-AK5-AK4-AK3-AK2</f>
        <v>171.39999999999986</v>
      </c>
      <c r="AL11" s="235">
        <f>IF((AE11)&gt;AJ11,(AJ11-AL10-AL9-AL8-AL7-AL6-AL5-AL4-AL3-AL2),IF((AE11)&lt;=AJ11,AE11-AL10-AL9-AL8-AL7-AL6-AL5-AL4-AL3-AL2))</f>
        <v>171.39999999999986</v>
      </c>
      <c r="AN11" s="271">
        <f t="shared" si="5"/>
        <v>12386</v>
      </c>
      <c r="AO11" s="15">
        <f>AN11-AO10-AO9-AO8-AO7-AO6-AO5-AO4-AO3-AO2</f>
        <v>128.60000000000036</v>
      </c>
    </row>
    <row r="12" spans="1:45">
      <c r="A12" s="236" t="s">
        <v>473</v>
      </c>
      <c r="B12" s="238">
        <v>3420</v>
      </c>
      <c r="C12" s="241">
        <f t="shared" si="6"/>
        <v>34720</v>
      </c>
      <c r="D12" s="239">
        <v>3428</v>
      </c>
      <c r="E12" s="239">
        <f t="shared" si="21"/>
        <v>37708</v>
      </c>
      <c r="F12" s="240">
        <f t="shared" si="7"/>
        <v>150832</v>
      </c>
      <c r="G12" s="240">
        <f t="shared" si="0"/>
        <v>301664</v>
      </c>
      <c r="H12" s="240">
        <f>+IF(C12&lt;E12,C12-H11-H10-H9-H8-H7-H6-H5-H4-H3-H2,IF(C12&gt;E12,E12-H11-H10-H9-H8-H7-H6-H5-H4-H3-H2))</f>
        <v>3420</v>
      </c>
      <c r="I12" s="240">
        <f>+IF(C12&gt;E12,C12-E12-I11-I10-I9-I8-I7-I6-I5-I4-I3-I2,IF(C12&lt;E12,-I11-I10-I9-I8-I7-I6-I5-I4-I3-I2))</f>
        <v>0</v>
      </c>
      <c r="J12" s="240">
        <f>+IF(C12&lt;F12,C12-J11-J10-J9-J8-J7-J6-J5-J4-J3-J2,IF(C12&gt;F12,F12-J11-J10-J9-J8-J7-J6-J5-J4-J3-J2))</f>
        <v>3420</v>
      </c>
      <c r="K12" s="240">
        <f>+IF(C12&lt;G12,C12-K11-K10-K9-K8-K7-K6-K5-K4-K3-K2,IF(C12&gt;G12,G12-K11-K10-K9-K8-K7-K6-K5-K4-K3-K2))</f>
        <v>3420</v>
      </c>
      <c r="L12" s="247">
        <v>1.7319999999999999E-2</v>
      </c>
      <c r="M12" s="15">
        <f t="shared" si="23"/>
        <v>59.234399999999994</v>
      </c>
      <c r="N12" s="15">
        <f t="shared" si="12"/>
        <v>601.35040000000004</v>
      </c>
      <c r="O12" s="15">
        <v>1.7319999999999999E-2</v>
      </c>
      <c r="P12">
        <f t="shared" si="8"/>
        <v>0</v>
      </c>
      <c r="Q12" s="15">
        <f t="shared" si="13"/>
        <v>0</v>
      </c>
      <c r="R12" s="252">
        <v>0.02</v>
      </c>
      <c r="S12">
        <f t="shared" si="9"/>
        <v>68.400000000000006</v>
      </c>
      <c r="T12" s="15">
        <f t="shared" si="14"/>
        <v>694.4</v>
      </c>
      <c r="U12">
        <f t="shared" si="10"/>
        <v>127.6344</v>
      </c>
      <c r="V12" s="15">
        <f t="shared" si="15"/>
        <v>2262.48</v>
      </c>
      <c r="W12" s="15">
        <f t="shared" si="16"/>
        <v>520.79999999999995</v>
      </c>
      <c r="X12" s="15">
        <f t="shared" si="11"/>
        <v>4524.96</v>
      </c>
      <c r="Y12" s="10">
        <f t="shared" si="17"/>
        <v>2783.2799999999997</v>
      </c>
      <c r="Z12" s="15">
        <f>Y12-Z11-Z10-Z9-Z8-Z7-Z6-Z5-Z4-Z3-Z2</f>
        <v>256.97999999999985</v>
      </c>
      <c r="AA12" s="257">
        <f>IF((N12+Q12+T12)&gt;Y12,(Y12-AA11-AA10-AA9-AA8-AA7-AA6-AA5-AA4-AA3-AA2),IF((N12+Q12+T12)&lt;=Y12,N12+Q12+T12-AA11-AA10-AA9-AA8-AA7-AA6-AA5-AA4-AA3-AA2))</f>
        <v>127.63439999999989</v>
      </c>
      <c r="AB12" s="271">
        <f t="shared" si="22"/>
        <v>0</v>
      </c>
      <c r="AC12" s="15">
        <f>AB12-AC11-AC10-AC9-AC8-AC7-AC6-AC5-AC4-AC3-AC2</f>
        <v>0</v>
      </c>
      <c r="AD12">
        <v>300</v>
      </c>
      <c r="AE12" s="15">
        <f t="shared" si="18"/>
        <v>14400</v>
      </c>
      <c r="AF12">
        <f t="shared" si="2"/>
        <v>1885.4</v>
      </c>
      <c r="AG12">
        <f t="shared" si="3"/>
        <v>1736</v>
      </c>
      <c r="AH12">
        <f t="shared" si="4"/>
        <v>9427</v>
      </c>
      <c r="AI12" s="10">
        <f t="shared" si="19"/>
        <v>1736</v>
      </c>
      <c r="AJ12" s="10">
        <f t="shared" si="20"/>
        <v>1885.4</v>
      </c>
      <c r="AK12" s="15">
        <f>AJ12-AK11-AK10-AK9-AK8-AK7-AK6-AK5-AK4-AK3-AK2</f>
        <v>171.40000000000009</v>
      </c>
      <c r="AL12" s="235">
        <f>IF((AE12)&gt;AJ12,(AJ12-AL11-AL10-AL9-AL8-AL7-AL6-AL5-AL4-AL3-AL2),IF((AE12)&lt;=AJ12,AE12-AL11-AL10-AL9-AL8-AL7-AL6-AL5-AL4-AL3-AL2))</f>
        <v>171.40000000000009</v>
      </c>
      <c r="AN12" s="271">
        <f t="shared" si="5"/>
        <v>12514.6</v>
      </c>
      <c r="AO12" s="15">
        <f>AN12-AO11-AO10-AO9-AO8-AO7-AO6-AO5-AO4-AO3-AO2</f>
        <v>128.60000000000036</v>
      </c>
    </row>
    <row r="13" spans="1:45">
      <c r="A13" s="236" t="s">
        <v>474</v>
      </c>
      <c r="B13" s="238">
        <v>3420</v>
      </c>
      <c r="C13" s="245">
        <f t="shared" si="6"/>
        <v>38140</v>
      </c>
      <c r="D13" s="239">
        <v>3428</v>
      </c>
      <c r="E13" s="237">
        <f t="shared" si="21"/>
        <v>41136</v>
      </c>
      <c r="F13" s="246">
        <f t="shared" si="7"/>
        <v>164544</v>
      </c>
      <c r="G13" s="246">
        <f t="shared" si="0"/>
        <v>329088</v>
      </c>
      <c r="H13" s="240">
        <f>+IF(C13&lt;E13,C13-H12-H11-H10-H9-H8-H7-H6-H5-H4-H3-H2,IF(C13&gt;E13,E13-H12-H11-H10-H9-H8-H7-H6-H5-H4-H3-H2))</f>
        <v>3420</v>
      </c>
      <c r="I13" s="240">
        <f>+IF(C13&gt;E13,C13-E13-I12-I11-I10-I9-I8-I7-I6-I5-I4-I3-I2,IF(C13&lt;E13,-I12-I11-I10-I9-I8-I7-I6-I5-I4-I3-I2))</f>
        <v>0</v>
      </c>
      <c r="J13" s="240">
        <f>+IF(C13&lt;F13,C13-J12-J11-J10-J9-J8-J7-J6-J5-J4-J3-J2,IF(C13&gt;F13,F13-J12-J11-J10-J9-J8-J7-J6-J5-J4-J3-J2))</f>
        <v>3420</v>
      </c>
      <c r="K13" s="240">
        <f>+IF(C13&lt;G13,C13-K12-K11-K10-K9-K8-K7-K6-K5-K4-K3-K2,IF(C13&gt;G13,G13-K12-K11-K10-K9-K8-K7-K6-K5-K4-K3-K2))</f>
        <v>3420</v>
      </c>
      <c r="L13" s="247">
        <v>1.7319999999999999E-2</v>
      </c>
      <c r="M13" s="15">
        <f t="shared" si="23"/>
        <v>59.234399999999994</v>
      </c>
      <c r="N13" s="15">
        <f t="shared" si="12"/>
        <v>660.58480000000009</v>
      </c>
      <c r="O13" s="15">
        <v>1.7319999999999999E-2</v>
      </c>
      <c r="P13">
        <f t="shared" si="8"/>
        <v>0</v>
      </c>
      <c r="Q13" s="15">
        <f t="shared" si="13"/>
        <v>0</v>
      </c>
      <c r="R13" s="252">
        <v>0.02</v>
      </c>
      <c r="S13">
        <f t="shared" si="9"/>
        <v>68.400000000000006</v>
      </c>
      <c r="T13" s="15">
        <f t="shared" si="14"/>
        <v>762.8</v>
      </c>
      <c r="U13">
        <f t="shared" si="10"/>
        <v>127.6344</v>
      </c>
      <c r="V13" s="15">
        <f t="shared" si="15"/>
        <v>2468.16</v>
      </c>
      <c r="W13" s="15">
        <f t="shared" si="16"/>
        <v>572.1</v>
      </c>
      <c r="X13" s="15">
        <f t="shared" si="11"/>
        <v>4936.32</v>
      </c>
      <c r="Y13" s="256">
        <f t="shared" si="17"/>
        <v>3040.2599999999998</v>
      </c>
      <c r="Z13" s="15">
        <f>Y13-Z12-Z11-Z10-Z9-Z8-Z7-Z6-Z5-Z4-Z3-Z2</f>
        <v>256.97999999999985</v>
      </c>
      <c r="AA13" s="257">
        <f>IF((N13+Q13+T13)&gt;Y13,(Y13-AA12-AA11-AA10-AA9-AA8-AA7-AA6-AA5-AA4-AA3-AA2),IF((N13+Q13+T13)&lt;=Y13,N13+Q13+T13-AA12-AA11-AA10-AA9-AA8-AA7-AA6-AA5-AA4-AA3-AA2))</f>
        <v>127.63440000000011</v>
      </c>
      <c r="AB13" s="271">
        <f t="shared" si="22"/>
        <v>0</v>
      </c>
      <c r="AC13" s="15">
        <f>AB13-AC12-AC11-AC10-AC9-AC8-AC7-AC6-AC5-AC4-AC3-AC2</f>
        <v>0</v>
      </c>
      <c r="AD13">
        <v>300</v>
      </c>
      <c r="AE13" s="235">
        <f t="shared" si="18"/>
        <v>14700</v>
      </c>
      <c r="AF13">
        <f t="shared" si="2"/>
        <v>2056.8000000000002</v>
      </c>
      <c r="AG13">
        <f t="shared" si="3"/>
        <v>1907</v>
      </c>
      <c r="AH13">
        <f t="shared" si="4"/>
        <v>10284</v>
      </c>
      <c r="AI13" s="10">
        <f t="shared" si="19"/>
        <v>1907</v>
      </c>
      <c r="AJ13" s="10">
        <f t="shared" si="20"/>
        <v>2056.8000000000002</v>
      </c>
      <c r="AK13" s="15">
        <f>AJ13-AK12-AK11-AK10-AK9-AK8-AK7-AK6-AK5-AK4-AK3-AK2</f>
        <v>171.40000000000009</v>
      </c>
      <c r="AL13" s="235">
        <f>IF((AE13)&gt;AJ13,(AJ13-AL12-AL11-AL10-AL9-AL8-AL7-AL6-AL5-AL4-AL3-AL2),IF((AE13)&lt;=AJ13,AE13-AL12-AL11-AL10-AL9-AL8-AL7-AL6-AL5-AL4-AL3-AL2))</f>
        <v>171.40000000000009</v>
      </c>
      <c r="AN13" s="271">
        <f t="shared" si="5"/>
        <v>12643.2</v>
      </c>
      <c r="AO13" s="15">
        <f>AN13-AO12-AO11-AO10-AO9-AO8-AO7-AO6-AO5-AO4-AO3-AO2</f>
        <v>128.60000000000036</v>
      </c>
    </row>
    <row r="14" spans="1:45">
      <c r="B14" s="232">
        <f>SUM(B2:B13)</f>
        <v>38140</v>
      </c>
      <c r="C14" s="232"/>
      <c r="D14" s="232">
        <f>SUM(D2:D13)</f>
        <v>41136</v>
      </c>
      <c r="E14" s="232"/>
      <c r="F14" s="232"/>
      <c r="G14" s="232"/>
      <c r="H14" s="232">
        <f>SUM(H2:H13)</f>
        <v>38140</v>
      </c>
      <c r="I14" s="232">
        <f t="shared" ref="I14" si="24">SUM(I2:I13)</f>
        <v>0</v>
      </c>
      <c r="J14" s="232">
        <f>SUM(J2:J13)</f>
        <v>38140</v>
      </c>
      <c r="K14" s="232">
        <f>SUM(K2:K13)</f>
        <v>38140</v>
      </c>
      <c r="L14" s="232"/>
      <c r="M14" s="232">
        <f t="shared" ref="M14" si="25">SUM(M2:M13)</f>
        <v>660.58480000000009</v>
      </c>
      <c r="P14" s="232">
        <f t="shared" ref="P14" si="26">SUM(P2:P13)</f>
        <v>0</v>
      </c>
      <c r="S14" s="232">
        <f t="shared" ref="S14" si="27">SUM(S2:S13)</f>
        <v>762.8</v>
      </c>
      <c r="U14" s="255">
        <f t="shared" ref="U14:Z14" si="28">SUM(U2:U13)</f>
        <v>1423.3847999999996</v>
      </c>
      <c r="V14" s="232">
        <f t="shared" si="28"/>
        <v>16043.039999999997</v>
      </c>
      <c r="W14" s="232">
        <f>SUM(W2:W13)</f>
        <v>3794.3999999999992</v>
      </c>
      <c r="X14" s="232">
        <f t="shared" si="28"/>
        <v>32086.079999999994</v>
      </c>
      <c r="Y14" s="232"/>
      <c r="Z14" s="255">
        <f t="shared" si="28"/>
        <v>3040.26</v>
      </c>
      <c r="AA14" s="232">
        <f>SUM(AA2:AA13)</f>
        <v>1423.3848</v>
      </c>
      <c r="AC14" s="232">
        <f t="shared" ref="AC14:AD14" si="29">SUM(AC2:AC13)</f>
        <v>0</v>
      </c>
      <c r="AD14" s="232">
        <f t="shared" si="29"/>
        <v>14700</v>
      </c>
      <c r="AK14" s="232">
        <f t="shared" ref="AK14:AL14" si="30">SUM(AK2:AK13)</f>
        <v>2056.8000000000002</v>
      </c>
      <c r="AL14" s="232">
        <f t="shared" si="30"/>
        <v>2056.8000000000002</v>
      </c>
      <c r="AO14" s="232">
        <f t="shared" ref="AO14" si="31">SUM(AO2:AO13)</f>
        <v>12643.2</v>
      </c>
    </row>
    <row r="15" spans="1:45">
      <c r="B15" s="233"/>
      <c r="C15" s="233"/>
      <c r="D15" s="233"/>
      <c r="E15" s="233"/>
      <c r="F15" s="234"/>
      <c r="G15" s="234"/>
      <c r="R15" s="15"/>
      <c r="S15" s="15"/>
      <c r="T15"/>
      <c r="U15" s="262">
        <f>+U14-S14-P14-M14</f>
        <v>0</v>
      </c>
      <c r="X15" s="10"/>
      <c r="Z15" s="254"/>
      <c r="AJ15" s="15"/>
    </row>
    <row r="16" spans="1:45">
      <c r="B16" s="233"/>
      <c r="G16" s="235"/>
      <c r="K16" s="10"/>
      <c r="R16" s="15"/>
      <c r="S16" s="15"/>
      <c r="T16"/>
      <c r="V16" s="15"/>
      <c r="X16" s="10"/>
      <c r="Y16" s="15"/>
      <c r="AE16"/>
      <c r="AJ16" s="15"/>
    </row>
    <row r="17" spans="1:37">
      <c r="B17" s="233"/>
      <c r="R17" s="15"/>
      <c r="S17" s="15"/>
      <c r="T17"/>
      <c r="V17" s="15"/>
      <c r="W17" s="258"/>
      <c r="X17" s="10"/>
      <c r="Y17" s="15"/>
      <c r="AJ17" s="15"/>
      <c r="AK17" s="15"/>
    </row>
    <row r="18" spans="1:37">
      <c r="M18" s="259" t="s">
        <v>641</v>
      </c>
      <c r="R18" s="15"/>
      <c r="S18" s="15"/>
      <c r="T18"/>
      <c r="V18" s="15"/>
      <c r="X18" s="10"/>
      <c r="Y18" s="15"/>
      <c r="AC18" t="s">
        <v>638</v>
      </c>
      <c r="AJ18" s="15"/>
    </row>
    <row r="19" spans="1:37">
      <c r="A19" s="10" t="s">
        <v>631</v>
      </c>
      <c r="M19" t="s">
        <v>642</v>
      </c>
      <c r="R19" s="15"/>
      <c r="S19" s="15"/>
      <c r="T19"/>
      <c r="V19" s="15"/>
      <c r="Y19" s="15"/>
      <c r="AC19" t="s">
        <v>639</v>
      </c>
    </row>
    <row r="20" spans="1:37">
      <c r="A20" t="s">
        <v>632</v>
      </c>
      <c r="M20"/>
      <c r="R20" s="15"/>
      <c r="S20" s="15"/>
      <c r="V20" s="15"/>
      <c r="AC20" t="s">
        <v>640</v>
      </c>
      <c r="AJ20" s="15"/>
    </row>
    <row r="21" spans="1:37">
      <c r="A21" t="s">
        <v>633</v>
      </c>
      <c r="M21" s="259" t="s">
        <v>643</v>
      </c>
      <c r="Q21" s="85"/>
      <c r="R21" s="15"/>
      <c r="S21" s="15"/>
      <c r="T21"/>
      <c r="V21" s="15"/>
    </row>
    <row r="22" spans="1:37">
      <c r="A22" s="102" t="s">
        <v>634</v>
      </c>
      <c r="R22" s="15"/>
      <c r="S22" s="15"/>
      <c r="T22"/>
      <c r="V22" s="15"/>
    </row>
    <row r="23" spans="1:37">
      <c r="A23" s="102"/>
      <c r="V23" s="15"/>
    </row>
    <row r="24" spans="1:37">
      <c r="A24" s="102" t="s">
        <v>635</v>
      </c>
    </row>
    <row r="25" spans="1:37">
      <c r="A25" s="102" t="s">
        <v>636</v>
      </c>
    </row>
    <row r="26" spans="1:37">
      <c r="A26" s="102"/>
      <c r="Y26" s="15"/>
    </row>
    <row r="27" spans="1:37">
      <c r="A27" s="102" t="s">
        <v>626</v>
      </c>
    </row>
    <row r="28" spans="1:37">
      <c r="Y28" s="15"/>
    </row>
    <row r="29" spans="1:37">
      <c r="Y29" s="15"/>
    </row>
    <row r="30" spans="1:37">
      <c r="Y30" s="15"/>
    </row>
    <row r="31" spans="1:37">
      <c r="Y31" s="15"/>
    </row>
    <row r="32" spans="1:37">
      <c r="Y32" s="15"/>
    </row>
    <row r="33" spans="25:25">
      <c r="Y33" s="15"/>
    </row>
    <row r="34" spans="25:25">
      <c r="Y34" s="15"/>
    </row>
    <row r="35" spans="25:25">
      <c r="Y35"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opLeftCell="A44" zoomScaleNormal="100" workbookViewId="0">
      <selection activeCell="C34" sqref="C34"/>
    </sheetView>
  </sheetViews>
  <sheetFormatPr baseColWidth="10" defaultRowHeight="14.5"/>
  <cols>
    <col min="1" max="1" width="22.36328125" customWidth="1"/>
    <col min="2" max="2" width="23" style="289" customWidth="1"/>
    <col min="3" max="3" width="22.81640625" customWidth="1"/>
    <col min="8" max="8" width="10.90625" style="306"/>
  </cols>
  <sheetData>
    <row r="2" spans="1:4">
      <c r="A2" t="s">
        <v>839</v>
      </c>
      <c r="B2" t="s">
        <v>840</v>
      </c>
    </row>
    <row r="3" spans="1:4">
      <c r="A3" t="s">
        <v>841</v>
      </c>
    </row>
    <row r="4" spans="1:4">
      <c r="A4" s="10" t="s">
        <v>842</v>
      </c>
    </row>
    <row r="5" spans="1:4">
      <c r="A5" s="10" t="s">
        <v>843</v>
      </c>
    </row>
    <row r="6" spans="1:4">
      <c r="A6" t="s">
        <v>849</v>
      </c>
    </row>
    <row r="7" spans="1:4">
      <c r="A7" t="s">
        <v>850</v>
      </c>
    </row>
    <row r="8" spans="1:4">
      <c r="A8" t="s">
        <v>851</v>
      </c>
    </row>
    <row r="10" spans="1:4" ht="18" thickBot="1">
      <c r="A10" s="300" t="s">
        <v>852</v>
      </c>
      <c r="C10" s="10" t="s">
        <v>856</v>
      </c>
      <c r="D10" s="10" t="s">
        <v>854</v>
      </c>
    </row>
    <row r="11" spans="1:4">
      <c r="A11" t="s">
        <v>845</v>
      </c>
    </row>
    <row r="12" spans="1:4">
      <c r="A12" t="s">
        <v>847</v>
      </c>
    </row>
    <row r="14" spans="1:4">
      <c r="A14" s="368" t="s">
        <v>666</v>
      </c>
      <c r="B14" s="368">
        <v>1500</v>
      </c>
    </row>
    <row r="15" spans="1:4" ht="18" thickBot="1">
      <c r="A15" s="300" t="s">
        <v>844</v>
      </c>
      <c r="B15" s="369">
        <f>((B14*1/4)*3)+(B14*1/4*6/12)</f>
        <v>1312.5</v>
      </c>
      <c r="C15" t="s">
        <v>846</v>
      </c>
    </row>
    <row r="16" spans="1:4" ht="18" thickBot="1">
      <c r="A16" s="300" t="s">
        <v>844</v>
      </c>
      <c r="B16" s="369">
        <f>((B14*1/4)*10)+(B14*1/3*(2+9/12))</f>
        <v>5125</v>
      </c>
      <c r="C16" t="s">
        <v>848</v>
      </c>
    </row>
    <row r="18" spans="1:9" ht="18" thickBot="1">
      <c r="A18" s="300" t="s">
        <v>852</v>
      </c>
      <c r="C18" s="10" t="s">
        <v>856</v>
      </c>
      <c r="D18" s="10" t="s">
        <v>855</v>
      </c>
      <c r="F18" s="10" t="s">
        <v>853</v>
      </c>
      <c r="G18" s="370"/>
    </row>
    <row r="19" spans="1:9">
      <c r="A19" s="10"/>
      <c r="C19" s="10"/>
      <c r="D19" s="10"/>
      <c r="F19" s="10"/>
      <c r="G19" s="370"/>
    </row>
    <row r="20" spans="1:9">
      <c r="A20" t="s">
        <v>860</v>
      </c>
      <c r="I20" s="379"/>
    </row>
    <row r="21" spans="1:9">
      <c r="A21" t="s">
        <v>861</v>
      </c>
      <c r="I21" s="379"/>
    </row>
    <row r="22" spans="1:9">
      <c r="A22" t="s">
        <v>862</v>
      </c>
      <c r="I22" s="379"/>
    </row>
    <row r="23" spans="1:9">
      <c r="A23" s="10" t="s">
        <v>858</v>
      </c>
      <c r="C23" s="10"/>
      <c r="D23" s="10"/>
      <c r="F23" s="10"/>
      <c r="G23" s="370"/>
      <c r="I23" s="379"/>
    </row>
    <row r="24" spans="1:9">
      <c r="A24" s="10"/>
      <c r="B24" s="10"/>
      <c r="C24" s="10"/>
      <c r="D24" s="10"/>
      <c r="F24" s="10"/>
      <c r="G24" s="370"/>
      <c r="I24" s="379"/>
    </row>
    <row r="25" spans="1:9">
      <c r="A25" t="s">
        <v>857</v>
      </c>
      <c r="I25" s="379"/>
    </row>
    <row r="27" spans="1:9">
      <c r="A27" s="368" t="s">
        <v>666</v>
      </c>
      <c r="B27" s="368">
        <v>2000</v>
      </c>
    </row>
    <row r="28" spans="1:9" ht="18" thickBot="1">
      <c r="A28" s="300" t="s">
        <v>844</v>
      </c>
      <c r="B28" s="369">
        <f>((B27*1/3)*12)+(B27*1/3*(7/12))</f>
        <v>8388.8888888888887</v>
      </c>
      <c r="C28" t="s">
        <v>859</v>
      </c>
    </row>
    <row r="31" spans="1:9" ht="18" thickBot="1">
      <c r="A31" s="300" t="s">
        <v>869</v>
      </c>
    </row>
    <row r="33" spans="1:10">
      <c r="A33" t="s">
        <v>863</v>
      </c>
    </row>
    <row r="34" spans="1:10">
      <c r="A34" s="368" t="s">
        <v>666</v>
      </c>
      <c r="B34" s="368">
        <v>34687</v>
      </c>
      <c r="C34" t="s">
        <v>864</v>
      </c>
      <c r="G34" t="s">
        <v>870</v>
      </c>
    </row>
    <row r="35" spans="1:10" ht="18" thickBot="1">
      <c r="A35" s="300" t="s">
        <v>871</v>
      </c>
      <c r="B35" s="369">
        <f>B34/12*3</f>
        <v>8671.75</v>
      </c>
      <c r="C35" t="s">
        <v>865</v>
      </c>
    </row>
    <row r="36" spans="1:10">
      <c r="A36" t="s">
        <v>866</v>
      </c>
    </row>
    <row r="37" spans="1:10">
      <c r="A37" t="s">
        <v>867</v>
      </c>
    </row>
    <row r="38" spans="1:10">
      <c r="A38" t="s">
        <v>868</v>
      </c>
    </row>
    <row r="39" spans="1:10" ht="17.5">
      <c r="A39" s="380" t="s">
        <v>906</v>
      </c>
    </row>
    <row r="40" spans="1:10">
      <c r="A40" s="381" t="s">
        <v>907</v>
      </c>
    </row>
    <row r="41" spans="1:10">
      <c r="A41" s="87" t="s">
        <v>875</v>
      </c>
    </row>
    <row r="42" spans="1:10" ht="15.5">
      <c r="A42" s="286" t="s">
        <v>872</v>
      </c>
    </row>
    <row r="43" spans="1:10">
      <c r="A43" s="297" t="s">
        <v>873</v>
      </c>
    </row>
    <row r="44" spans="1:10">
      <c r="A44" s="296" t="s">
        <v>874</v>
      </c>
    </row>
    <row r="46" spans="1:10" ht="18" thickBot="1">
      <c r="A46" s="372" t="s">
        <v>852</v>
      </c>
      <c r="C46" s="10" t="s">
        <v>856</v>
      </c>
      <c r="D46" s="10" t="s">
        <v>854</v>
      </c>
      <c r="J46" t="s">
        <v>900</v>
      </c>
    </row>
    <row r="47" spans="1:10">
      <c r="A47" t="s">
        <v>873</v>
      </c>
      <c r="J47" t="s">
        <v>901</v>
      </c>
    </row>
    <row r="48" spans="1:10">
      <c r="A48" t="s">
        <v>876</v>
      </c>
    </row>
    <row r="50" spans="1:10">
      <c r="A50" s="368" t="s">
        <v>666</v>
      </c>
      <c r="B50" s="368">
        <v>53657</v>
      </c>
    </row>
    <row r="51" spans="1:10" ht="18" thickBot="1">
      <c r="A51" s="372" t="s">
        <v>844</v>
      </c>
      <c r="B51" s="369">
        <f>((B50*1/4)*10)+(B50*1/3*(2+3/12))</f>
        <v>174385.25</v>
      </c>
      <c r="C51" t="s">
        <v>877</v>
      </c>
    </row>
    <row r="53" spans="1:10" ht="18" thickBot="1">
      <c r="A53" s="372" t="s">
        <v>852</v>
      </c>
      <c r="C53" s="10" t="s">
        <v>856</v>
      </c>
      <c r="D53" s="10" t="s">
        <v>855</v>
      </c>
      <c r="F53" s="10" t="s">
        <v>853</v>
      </c>
      <c r="G53" s="370"/>
      <c r="J53" t="s">
        <v>894</v>
      </c>
    </row>
    <row r="54" spans="1:10">
      <c r="A54" s="10"/>
      <c r="C54" s="10"/>
      <c r="D54" s="10"/>
      <c r="F54" s="10"/>
      <c r="G54" s="370"/>
      <c r="J54" t="s">
        <v>895</v>
      </c>
    </row>
    <row r="55" spans="1:10">
      <c r="A55" t="s">
        <v>878</v>
      </c>
      <c r="J55" t="s">
        <v>896</v>
      </c>
    </row>
    <row r="56" spans="1:10">
      <c r="J56" t="s">
        <v>897</v>
      </c>
    </row>
    <row r="57" spans="1:10">
      <c r="A57" s="368" t="s">
        <v>666</v>
      </c>
      <c r="B57" s="368">
        <v>53657</v>
      </c>
      <c r="J57" t="s">
        <v>898</v>
      </c>
    </row>
    <row r="58" spans="1:10" ht="18" thickBot="1">
      <c r="A58" s="372" t="s">
        <v>844</v>
      </c>
      <c r="B58" s="369">
        <f>((B57*1/3)*12)+(B57*1/3*(3/12))</f>
        <v>219099.41666666666</v>
      </c>
      <c r="C58" t="s">
        <v>879</v>
      </c>
      <c r="J58" t="s">
        <v>899</v>
      </c>
    </row>
    <row r="60" spans="1:10">
      <c r="J60" t="s">
        <v>902</v>
      </c>
    </row>
    <row r="61" spans="1:10">
      <c r="J61" t="s">
        <v>903</v>
      </c>
    </row>
    <row r="62" spans="1:10">
      <c r="J62" t="s">
        <v>904</v>
      </c>
    </row>
    <row r="63" spans="1:10">
      <c r="J63" t="s">
        <v>905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topLeftCell="C1" zoomScale="85" zoomScaleNormal="85" workbookViewId="0">
      <selection activeCell="L1" sqref="L1"/>
    </sheetView>
  </sheetViews>
  <sheetFormatPr baseColWidth="10" defaultRowHeight="14.5"/>
  <cols>
    <col min="1" max="1" width="19.36328125" style="15" customWidth="1"/>
    <col min="2" max="2" width="14.26953125" style="15" customWidth="1"/>
    <col min="3" max="3" width="18" style="15" customWidth="1"/>
    <col min="4" max="4" width="14.26953125" style="15" customWidth="1"/>
    <col min="5" max="6" width="18" style="15" customWidth="1"/>
    <col min="7" max="7" width="14.36328125" style="15" customWidth="1"/>
    <col min="8" max="14" width="16" style="15" customWidth="1"/>
  </cols>
  <sheetData>
    <row r="1" spans="1:14" ht="86" customHeight="1" thickBot="1">
      <c r="A1" s="383" t="s">
        <v>925</v>
      </c>
      <c r="B1" s="384" t="s">
        <v>926</v>
      </c>
      <c r="C1" s="384" t="s">
        <v>927</v>
      </c>
      <c r="D1" s="384" t="s">
        <v>928</v>
      </c>
      <c r="E1" s="384" t="s">
        <v>929</v>
      </c>
      <c r="F1" s="384" t="s">
        <v>930</v>
      </c>
      <c r="G1" s="384" t="s">
        <v>931</v>
      </c>
      <c r="H1" s="384" t="s">
        <v>932</v>
      </c>
      <c r="I1" s="509" t="s">
        <v>933</v>
      </c>
      <c r="J1" s="384" t="s">
        <v>934</v>
      </c>
      <c r="K1" s="384" t="s">
        <v>935</v>
      </c>
      <c r="L1" s="509" t="s">
        <v>936</v>
      </c>
      <c r="M1" s="384" t="s">
        <v>937</v>
      </c>
      <c r="N1" s="509" t="s">
        <v>938</v>
      </c>
    </row>
    <row r="2" spans="1:14" ht="15" thickBot="1">
      <c r="A2" s="386">
        <v>40000</v>
      </c>
      <c r="B2" s="387">
        <v>120000</v>
      </c>
      <c r="C2" s="389">
        <v>70000</v>
      </c>
      <c r="D2" s="389">
        <f>+B2*50%</f>
        <v>60000</v>
      </c>
      <c r="E2" s="389">
        <f>2*A2</f>
        <v>80000</v>
      </c>
      <c r="F2" s="388">
        <f>MAX(C2,D2,E2)</f>
        <v>80000</v>
      </c>
      <c r="G2" s="391">
        <f>3428*12*6</f>
        <v>246816</v>
      </c>
      <c r="H2" s="390">
        <f>MIN(F2,G2)</f>
        <v>80000</v>
      </c>
      <c r="I2" s="510">
        <f>B2-H2</f>
        <v>40000</v>
      </c>
      <c r="J2" s="391">
        <f>3428*12*2</f>
        <v>82272</v>
      </c>
      <c r="K2" s="385">
        <f>MIN(H2,J2)</f>
        <v>80000</v>
      </c>
      <c r="L2" s="510">
        <f>B2-K2</f>
        <v>40000</v>
      </c>
      <c r="M2" s="385">
        <f>MIN(C2,K2)</f>
        <v>70000</v>
      </c>
      <c r="N2" s="510">
        <f>B2-M2</f>
        <v>50000</v>
      </c>
    </row>
    <row r="3" spans="1:14">
      <c r="B3" s="233"/>
      <c r="C3" s="233"/>
      <c r="D3" s="233"/>
      <c r="E3" s="233"/>
      <c r="F3" s="233"/>
      <c r="G3" s="234"/>
      <c r="H3" s="234"/>
      <c r="I3" s="234"/>
      <c r="J3" s="234"/>
      <c r="K3" s="234"/>
      <c r="L3" s="234"/>
      <c r="M3" s="234"/>
      <c r="N3" s="234"/>
    </row>
    <row r="4" spans="1:14">
      <c r="B4" s="233"/>
      <c r="C4" s="233"/>
      <c r="D4" s="233"/>
      <c r="E4" s="233"/>
      <c r="F4" s="233"/>
      <c r="G4" s="235"/>
      <c r="H4" s="235"/>
      <c r="I4" s="235"/>
      <c r="J4" s="235"/>
      <c r="K4" s="235"/>
      <c r="L4" s="235"/>
      <c r="M4" s="235"/>
      <c r="N4" s="235"/>
    </row>
    <row r="5" spans="1:14">
      <c r="A5" s="392" t="s">
        <v>939</v>
      </c>
    </row>
    <row r="6" spans="1:14">
      <c r="A6" s="392"/>
    </row>
    <row r="7" spans="1:14" ht="86" customHeight="1" thickBot="1">
      <c r="A7" s="383" t="s">
        <v>925</v>
      </c>
      <c r="B7" s="384" t="s">
        <v>926</v>
      </c>
      <c r="C7" s="384" t="s">
        <v>927</v>
      </c>
      <c r="D7" s="384" t="s">
        <v>928</v>
      </c>
      <c r="E7" s="384" t="s">
        <v>929</v>
      </c>
      <c r="F7" s="384" t="s">
        <v>930</v>
      </c>
      <c r="G7" s="384" t="s">
        <v>940</v>
      </c>
      <c r="H7" s="384" t="s">
        <v>932</v>
      </c>
      <c r="I7" s="509" t="s">
        <v>933</v>
      </c>
      <c r="J7" s="384" t="s">
        <v>934</v>
      </c>
      <c r="K7" s="384" t="s">
        <v>935</v>
      </c>
      <c r="L7" s="509" t="s">
        <v>936</v>
      </c>
      <c r="M7" s="384" t="s">
        <v>937</v>
      </c>
      <c r="N7" s="509" t="s">
        <v>938</v>
      </c>
    </row>
    <row r="8" spans="1:14" ht="15" thickBot="1">
      <c r="A8" s="386">
        <v>40000</v>
      </c>
      <c r="B8" s="387">
        <v>120000</v>
      </c>
      <c r="C8" s="389">
        <v>70000</v>
      </c>
      <c r="D8" s="389">
        <f>+B8*50%</f>
        <v>60000</v>
      </c>
      <c r="E8" s="389">
        <f>2*A8</f>
        <v>80000</v>
      </c>
      <c r="F8" s="388">
        <f>MAX(C8,D8,E8)</f>
        <v>80000</v>
      </c>
      <c r="G8" s="391">
        <f>3428*12*5</f>
        <v>205680</v>
      </c>
      <c r="H8" s="390">
        <f>MIN(F8,G8)</f>
        <v>80000</v>
      </c>
      <c r="I8" s="510">
        <f>B8-H8</f>
        <v>40000</v>
      </c>
      <c r="J8" s="391">
        <f>3428*12*2</f>
        <v>82272</v>
      </c>
      <c r="K8" s="385">
        <f>MIN(H8,J8)</f>
        <v>80000</v>
      </c>
      <c r="L8" s="510">
        <f>B8-K8</f>
        <v>40000</v>
      </c>
      <c r="M8" s="385">
        <f>MIN(C8,K8)</f>
        <v>70000</v>
      </c>
      <c r="N8" s="510">
        <f>B8-M8</f>
        <v>50000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94" zoomScaleNormal="94" workbookViewId="0">
      <selection activeCell="B52" sqref="B52"/>
    </sheetView>
  </sheetViews>
  <sheetFormatPr baseColWidth="10" defaultRowHeight="14.5"/>
  <cols>
    <col min="1" max="1" width="22.36328125" customWidth="1"/>
    <col min="2" max="2" width="23" style="289" customWidth="1"/>
    <col min="3" max="3" width="22.81640625" customWidth="1"/>
    <col min="8" max="8" width="10.90625" style="306"/>
  </cols>
  <sheetData>
    <row r="1" spans="1:2" ht="20">
      <c r="B1" s="301" t="s">
        <v>660</v>
      </c>
    </row>
    <row r="2" spans="1:2">
      <c r="A2" t="s">
        <v>660</v>
      </c>
    </row>
    <row r="12" spans="1:2" ht="15.5">
      <c r="A12" s="286" t="s">
        <v>661</v>
      </c>
    </row>
    <row r="13" spans="1:2" ht="15.5">
      <c r="A13" s="286"/>
    </row>
    <row r="14" spans="1:2" ht="18" thickBot="1">
      <c r="A14" s="287" t="s">
        <v>662</v>
      </c>
    </row>
    <row r="15" spans="1:2">
      <c r="A15" s="87" t="s">
        <v>667</v>
      </c>
    </row>
    <row r="16" spans="1:2">
      <c r="A16" s="87" t="s">
        <v>668</v>
      </c>
    </row>
    <row r="17" spans="1:5">
      <c r="B17" s="515" t="s">
        <v>663</v>
      </c>
      <c r="C17" s="516"/>
    </row>
    <row r="18" spans="1:5">
      <c r="A18" s="289"/>
      <c r="B18" s="290" t="s">
        <v>664</v>
      </c>
      <c r="C18" s="290" t="s">
        <v>665</v>
      </c>
    </row>
    <row r="19" spans="1:5">
      <c r="A19" s="290" t="s">
        <v>669</v>
      </c>
      <c r="B19" s="291">
        <f>1800/21.67*13</f>
        <v>1079.8338717120441</v>
      </c>
      <c r="C19" s="291">
        <f>27440/10/25*13</f>
        <v>1426.88</v>
      </c>
      <c r="D19" t="s">
        <v>670</v>
      </c>
    </row>
    <row r="21" spans="1:5">
      <c r="A21" s="292" t="s">
        <v>671</v>
      </c>
      <c r="C21" s="293" t="s">
        <v>674</v>
      </c>
    </row>
    <row r="22" spans="1:5">
      <c r="A22" s="294" t="s">
        <v>672</v>
      </c>
      <c r="C22" s="293" t="s">
        <v>675</v>
      </c>
    </row>
    <row r="23" spans="1:5">
      <c r="A23" s="294" t="s">
        <v>673</v>
      </c>
    </row>
    <row r="24" spans="1:5">
      <c r="B24" s="515" t="s">
        <v>663</v>
      </c>
      <c r="C24" s="516"/>
    </row>
    <row r="25" spans="1:5">
      <c r="A25" s="289"/>
      <c r="B25" s="290" t="s">
        <v>664</v>
      </c>
      <c r="C25" s="290" t="s">
        <v>665</v>
      </c>
    </row>
    <row r="26" spans="1:5">
      <c r="A26" s="290" t="s">
        <v>669</v>
      </c>
      <c r="B26" s="295">
        <f>3167.53/21.67*20</f>
        <v>2923.4240886017533</v>
      </c>
      <c r="C26" s="295">
        <f>43010.36/10/25*20</f>
        <v>3440.8287999999998</v>
      </c>
      <c r="D26" t="s">
        <v>670</v>
      </c>
    </row>
    <row r="27" spans="1:5">
      <c r="A27" s="296" t="s">
        <v>676</v>
      </c>
    </row>
    <row r="28" spans="1:5">
      <c r="A28" s="297" t="s">
        <v>677</v>
      </c>
      <c r="D28" s="10" t="s">
        <v>679</v>
      </c>
      <c r="E28" s="296" t="s">
        <v>680</v>
      </c>
    </row>
    <row r="29" spans="1:5">
      <c r="A29" s="297" t="s">
        <v>678</v>
      </c>
      <c r="D29" s="10" t="s">
        <v>679</v>
      </c>
      <c r="E29" s="296" t="s">
        <v>681</v>
      </c>
    </row>
    <row r="31" spans="1:5">
      <c r="A31" s="292" t="s">
        <v>682</v>
      </c>
      <c r="C31" s="293" t="s">
        <v>685</v>
      </c>
    </row>
    <row r="33" spans="1:4">
      <c r="A33" s="296" t="s">
        <v>684</v>
      </c>
    </row>
    <row r="34" spans="1:4">
      <c r="A34" s="298" t="s">
        <v>683</v>
      </c>
    </row>
    <row r="35" spans="1:4">
      <c r="B35" s="515" t="s">
        <v>663</v>
      </c>
      <c r="C35" s="516"/>
      <c r="D35" s="296" t="s">
        <v>687</v>
      </c>
    </row>
    <row r="36" spans="1:4">
      <c r="A36" s="289"/>
      <c r="B36" s="290" t="s">
        <v>664</v>
      </c>
      <c r="C36" s="290" t="s">
        <v>665</v>
      </c>
      <c r="D36" s="76" t="s">
        <v>686</v>
      </c>
    </row>
    <row r="37" spans="1:4">
      <c r="A37" s="290" t="s">
        <v>669</v>
      </c>
      <c r="B37" s="299">
        <f>1800/21.67*5</f>
        <v>415.32071988924775</v>
      </c>
      <c r="C37" s="299">
        <f>(27440*26/25)/10/26*5</f>
        <v>548.79999999999995</v>
      </c>
      <c r="D37" t="s">
        <v>670</v>
      </c>
    </row>
    <row r="39" spans="1:4" ht="18" thickBot="1">
      <c r="A39" s="300" t="s">
        <v>688</v>
      </c>
      <c r="C39" s="293" t="s">
        <v>689</v>
      </c>
    </row>
    <row r="40" spans="1:4">
      <c r="A40" s="296" t="s">
        <v>690</v>
      </c>
    </row>
    <row r="41" spans="1:4">
      <c r="A41" s="296" t="s">
        <v>691</v>
      </c>
    </row>
    <row r="42" spans="1:4">
      <c r="A42" s="296" t="s">
        <v>692</v>
      </c>
    </row>
    <row r="43" spans="1:4">
      <c r="A43" s="296" t="s">
        <v>693</v>
      </c>
    </row>
    <row r="44" spans="1:4">
      <c r="A44" s="296" t="s">
        <v>694</v>
      </c>
    </row>
    <row r="45" spans="1:4">
      <c r="A45" s="296" t="s">
        <v>695</v>
      </c>
    </row>
    <row r="46" spans="1:4">
      <c r="A46" s="296" t="s">
        <v>696</v>
      </c>
    </row>
    <row r="47" spans="1:4">
      <c r="A47" s="296" t="s">
        <v>697</v>
      </c>
    </row>
    <row r="48" spans="1:4">
      <c r="A48" s="303"/>
      <c r="B48" s="304"/>
    </row>
    <row r="49" spans="1:5">
      <c r="A49" s="290" t="s">
        <v>698</v>
      </c>
      <c r="B49" s="288">
        <v>13</v>
      </c>
      <c r="C49" s="512" t="s">
        <v>664</v>
      </c>
      <c r="D49" s="512" t="s">
        <v>665</v>
      </c>
    </row>
    <row r="50" spans="1:5">
      <c r="A50" s="290" t="s">
        <v>589</v>
      </c>
      <c r="B50" s="288">
        <v>2667.67</v>
      </c>
      <c r="C50" s="513"/>
      <c r="D50" s="513"/>
    </row>
    <row r="51" spans="1:5">
      <c r="A51" s="290" t="s">
        <v>699</v>
      </c>
      <c r="B51" s="371">
        <f>B50*6</f>
        <v>16006.02</v>
      </c>
      <c r="C51" s="513"/>
      <c r="D51" s="513"/>
    </row>
    <row r="52" spans="1:5">
      <c r="A52" s="290" t="s">
        <v>700</v>
      </c>
      <c r="B52" s="288">
        <f>B51*10%</f>
        <v>1600.6020000000001</v>
      </c>
      <c r="C52" s="513"/>
      <c r="D52" s="513"/>
    </row>
    <row r="53" spans="1:5">
      <c r="A53" s="290" t="s">
        <v>666</v>
      </c>
      <c r="B53" s="288">
        <f>+B51+B52</f>
        <v>17606.621999999999</v>
      </c>
      <c r="C53" s="514"/>
      <c r="D53" s="514"/>
    </row>
    <row r="54" spans="1:5">
      <c r="A54" s="511" t="s">
        <v>669</v>
      </c>
      <c r="B54" s="511"/>
      <c r="C54" s="302">
        <f>B50/21.67*13</f>
        <v>1600.3557914167052</v>
      </c>
      <c r="D54" s="305">
        <f>B53/10/13*13</f>
        <v>1760.6622</v>
      </c>
      <c r="E54" t="s">
        <v>670</v>
      </c>
    </row>
  </sheetData>
  <mergeCells count="6">
    <mergeCell ref="A54:B54"/>
    <mergeCell ref="C49:C53"/>
    <mergeCell ref="D49:D53"/>
    <mergeCell ref="B17:C17"/>
    <mergeCell ref="B24:C24"/>
    <mergeCell ref="B35:C3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logique Brut =&gt; NET</vt:lpstr>
      <vt:lpstr>Brut =&gt; NET</vt:lpstr>
      <vt:lpstr>Paramétrage tranche paie França</vt:lpstr>
      <vt:lpstr>Paramétrage tranche paie Fr (2</vt:lpstr>
      <vt:lpstr>PRORATA PSS</vt:lpstr>
      <vt:lpstr>RS</vt:lpstr>
      <vt:lpstr>Ind licen</vt:lpstr>
      <vt:lpstr>Hors PSE</vt:lpstr>
      <vt:lpstr>ICP ICCP</vt:lpstr>
      <vt:lpstr>IJSS</vt:lpstr>
      <vt:lpstr>Ajustement SMIC</vt:lpstr>
      <vt:lpstr>Allègements de cotisations</vt:lpstr>
      <vt:lpstr>Le calcul de l'absence au réel</vt:lpstr>
      <vt:lpstr>Taux cotisation P&amp;D</vt:lpstr>
      <vt:lpstr>EXERCICE</vt:lpstr>
      <vt:lpstr>suite EXERCICE</vt:lpstr>
      <vt:lpstr>modele BP avec calcul</vt:lpstr>
      <vt:lpstr>description bp</vt:lpstr>
      <vt:lpstr>ANCIEN DISPO</vt:lpstr>
      <vt:lpstr>CALCUL TPI MAROC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Moufid Soufiane</dc:creator>
  <cp:lastModifiedBy>Mohamed DAHMANI</cp:lastModifiedBy>
  <cp:lastPrinted>2015-06-24T11:01:41Z</cp:lastPrinted>
  <dcterms:created xsi:type="dcterms:W3CDTF">2013-12-23T12:34:05Z</dcterms:created>
  <dcterms:modified xsi:type="dcterms:W3CDTF">2023-01-28T00:44:57Z</dcterms:modified>
</cp:coreProperties>
</file>