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a\Desktop\"/>
    </mc:Choice>
  </mc:AlternateContent>
  <xr:revisionPtr revIDLastSave="0" documentId="13_ncr:1_{AA975D23-DA59-409F-978E-B042899AF9DF}" xr6:coauthVersionLast="47" xr6:coauthVersionMax="47" xr10:uidLastSave="{00000000-0000-0000-0000-000000000000}"/>
  <bookViews>
    <workbookView xWindow="-108" yWindow="-108" windowWidth="23256" windowHeight="12456" tabRatio="469" firstSheet="6" activeTab="6" xr2:uid="{00000000-000D-0000-FFFF-FFFF00000000}"/>
  </bookViews>
  <sheets>
    <sheet name="입출력 parameter" sheetId="18" r:id="rId1"/>
    <sheet name="1 Round" sheetId="10" r:id="rId2"/>
    <sheet name="2 Round" sheetId="9" r:id="rId3"/>
    <sheet name="3 Round" sheetId="15" r:id="rId4"/>
    <sheet name="4 Round" sheetId="19" r:id="rId5"/>
    <sheet name="5 Round" sheetId="22" r:id="rId6"/>
    <sheet name="6 Round" sheetId="27" r:id="rId7"/>
    <sheet name="종합" sheetId="12" r:id="rId8"/>
    <sheet name="구매" sheetId="21" r:id="rId9"/>
    <sheet name="생산" sheetId="20" r:id="rId10"/>
    <sheet name="혼합기" sheetId="24" r:id="rId11"/>
    <sheet name="용기주입" sheetId="23" r:id="rId12"/>
    <sheet name="SCM" sheetId="17" r:id="rId13"/>
    <sheet name="판매" sheetId="25" r:id="rId14"/>
    <sheet name="용어 및 수식 정리" sheetId="16" r:id="rId15"/>
    <sheet name="상관관계 정리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20" l="1"/>
  <c r="S39" i="20"/>
  <c r="E36" i="20"/>
  <c r="B36" i="20"/>
  <c r="C36" i="20" s="1"/>
  <c r="F36" i="20" s="1"/>
  <c r="E35" i="20"/>
  <c r="B35" i="20"/>
  <c r="C35" i="20" s="1"/>
  <c r="F35" i="20" s="1"/>
  <c r="E34" i="20"/>
  <c r="B34" i="20"/>
  <c r="C34" i="20" s="1"/>
  <c r="F34" i="20" s="1"/>
  <c r="O33" i="20"/>
  <c r="M33" i="20"/>
  <c r="E33" i="20"/>
  <c r="C33" i="20"/>
  <c r="B33" i="20"/>
  <c r="F33" i="20" s="1"/>
  <c r="E32" i="20"/>
  <c r="B32" i="20"/>
  <c r="F32" i="20" s="1"/>
  <c r="E31" i="20"/>
  <c r="B31" i="20"/>
  <c r="F31" i="20" s="1"/>
  <c r="H34" i="20" l="1"/>
  <c r="J34" i="20" s="1"/>
  <c r="G34" i="20"/>
  <c r="I34" i="20" s="1"/>
  <c r="H33" i="20"/>
  <c r="J33" i="20" s="1"/>
  <c r="G33" i="20"/>
  <c r="I33" i="20" s="1"/>
  <c r="H32" i="20"/>
  <c r="J32" i="20" s="1"/>
  <c r="G32" i="20"/>
  <c r="I32" i="20" s="1"/>
  <c r="H35" i="20"/>
  <c r="J35" i="20" s="1"/>
  <c r="G35" i="20"/>
  <c r="I35" i="20" s="1"/>
  <c r="H36" i="20"/>
  <c r="J36" i="20" s="1"/>
  <c r="G36" i="20"/>
  <c r="I36" i="20" s="1"/>
  <c r="H31" i="20"/>
  <c r="J31" i="20" s="1"/>
  <c r="G31" i="20"/>
  <c r="I31" i="20" s="1"/>
  <c r="C31" i="20"/>
  <c r="C32" i="20"/>
  <c r="J37" i="20" l="1"/>
  <c r="O30" i="20" s="1"/>
  <c r="O31" i="20" s="1"/>
  <c r="O32" i="20" s="1"/>
  <c r="O34" i="20" s="1"/>
  <c r="C37" i="20"/>
  <c r="I37" i="20"/>
  <c r="M30" i="20" s="1"/>
  <c r="M31" i="20" s="1"/>
  <c r="M32" i="20" s="1"/>
  <c r="M34" i="20" s="1"/>
  <c r="O36" i="20" s="1"/>
  <c r="M40" i="20" s="1"/>
  <c r="S40" i="20" s="1"/>
  <c r="D24" i="21" l="1"/>
  <c r="E24" i="21" s="1"/>
  <c r="C20" i="21"/>
  <c r="D20" i="21"/>
  <c r="E20" i="21" s="1"/>
  <c r="C14" i="21"/>
  <c r="D9" i="21"/>
  <c r="D15" i="21" s="1"/>
  <c r="D8" i="21"/>
  <c r="C15" i="21" l="1"/>
  <c r="E15" i="21" s="1"/>
  <c r="B30" i="17"/>
  <c r="K14" i="23"/>
  <c r="K13" i="23"/>
  <c r="K12" i="23"/>
  <c r="J14" i="23"/>
  <c r="J13" i="23"/>
  <c r="J12" i="23"/>
  <c r="P10" i="21" l="1"/>
  <c r="P9" i="21"/>
  <c r="Q9" i="21" s="1"/>
  <c r="P8" i="21"/>
  <c r="Q8" i="21" s="1"/>
  <c r="P7" i="21"/>
  <c r="Q7" i="21" s="1"/>
  <c r="P19" i="21"/>
  <c r="Q19" i="21" s="1"/>
  <c r="P18" i="21"/>
  <c r="Q18" i="21" s="1"/>
  <c r="P17" i="21"/>
  <c r="Q17" i="21" s="1"/>
  <c r="P16" i="21"/>
  <c r="Q16" i="21" s="1"/>
  <c r="P15" i="21"/>
  <c r="Q15" i="21" s="1"/>
  <c r="P14" i="21"/>
  <c r="Q14" i="21" s="1"/>
  <c r="P13" i="21"/>
  <c r="Q13" i="21" s="1"/>
  <c r="P12" i="21"/>
  <c r="Q12" i="21" s="1"/>
  <c r="P11" i="21"/>
  <c r="Q11" i="21" s="1"/>
  <c r="P6" i="21"/>
  <c r="Q6" i="21" s="1"/>
  <c r="F31" i="17"/>
  <c r="E31" i="17"/>
  <c r="D31" i="17"/>
  <c r="C31" i="17"/>
  <c r="B31" i="17"/>
  <c r="F30" i="17"/>
  <c r="E30" i="17"/>
  <c r="D30" i="17"/>
  <c r="C30" i="17"/>
  <c r="F16" i="17"/>
  <c r="E16" i="17"/>
  <c r="D16" i="17"/>
  <c r="C16" i="17"/>
  <c r="B16" i="17"/>
  <c r="F15" i="17"/>
  <c r="E15" i="17"/>
  <c r="C15" i="17"/>
  <c r="B15" i="17"/>
  <c r="F13" i="17"/>
  <c r="E13" i="17"/>
  <c r="D13" i="17"/>
  <c r="C13" i="17"/>
  <c r="B13" i="17"/>
  <c r="F17" i="17" l="1"/>
  <c r="F19" i="17" s="1"/>
  <c r="D32" i="17"/>
  <c r="D33" i="17" s="1"/>
  <c r="B17" i="17"/>
  <c r="B19" i="17" s="1"/>
  <c r="C17" i="17"/>
  <c r="C19" i="17" s="1"/>
  <c r="E32" i="17"/>
  <c r="E33" i="17" s="1"/>
  <c r="E17" i="17"/>
  <c r="E19" i="17" s="1"/>
  <c r="B32" i="17"/>
  <c r="B33" i="17" s="1"/>
  <c r="C32" i="17"/>
  <c r="C33" i="17" s="1"/>
  <c r="F32" i="17"/>
  <c r="F33" i="17" s="1"/>
  <c r="D17" i="17"/>
  <c r="D19" i="17" s="1"/>
  <c r="G33" i="17" l="1"/>
  <c r="F3" i="17"/>
  <c r="F8" i="17" l="1"/>
  <c r="F7" i="17"/>
  <c r="F6" i="17"/>
  <c r="F5" i="17"/>
  <c r="F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김민재</author>
  </authors>
  <commentList>
    <comment ref="H7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원자재창고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초과유지비용이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팔레트가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때부터</t>
        </r>
        <r>
          <rPr>
            <sz val="9"/>
            <color indexed="81"/>
            <rFont val="Tahoma"/>
            <family val="2"/>
          </rPr>
          <t xml:space="preserve"> 2.7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>, 950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
정직원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줄여버려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김민재</author>
  </authors>
  <commentList>
    <comment ref="F6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원자재창고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초과유지비용이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팔레트가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때부터</t>
        </r>
        <r>
          <rPr>
            <sz val="9"/>
            <color indexed="81"/>
            <rFont val="Tahoma"/>
            <family val="2"/>
          </rPr>
          <t xml:space="preserve"> 2.7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>, 950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
정직원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줄여버려</t>
        </r>
      </text>
    </comment>
  </commentList>
</comments>
</file>

<file path=xl/sharedStrings.xml><?xml version="1.0" encoding="utf-8"?>
<sst xmlns="http://schemas.openxmlformats.org/spreadsheetml/2006/main" count="1052" uniqueCount="679">
  <si>
    <t>문제 상황</t>
    <phoneticPr fontId="1" type="noConversion"/>
  </si>
  <si>
    <t>해결 방안</t>
    <phoneticPr fontId="1" type="noConversion"/>
  </si>
  <si>
    <t>부서</t>
    <phoneticPr fontId="1" type="noConversion"/>
  </si>
  <si>
    <t>구매</t>
    <phoneticPr fontId="1" type="noConversion"/>
  </si>
  <si>
    <t>생산</t>
    <phoneticPr fontId="1" type="noConversion"/>
  </si>
  <si>
    <t>판매</t>
    <phoneticPr fontId="1" type="noConversion"/>
  </si>
  <si>
    <t>SCM</t>
    <phoneticPr fontId="1" type="noConversion"/>
  </si>
  <si>
    <t>합의사항</t>
    <phoneticPr fontId="1" type="noConversion"/>
  </si>
  <si>
    <t>② F&amp;G, LAND사에 합의한 것보다 낮은 서비스수준을 제공함</t>
    <phoneticPr fontId="1" type="noConversion"/>
  </si>
  <si>
    <t>② 1 리터 팩과 PET 의 보유 재고 수준이 높다.</t>
    <phoneticPr fontId="1" type="noConversion"/>
  </si>
  <si>
    <t>서비스수준, 유통기한, 거래단위,
주문 마감시간, 주문관리</t>
    <phoneticPr fontId="1" type="noConversion"/>
  </si>
  <si>
    <t>안전재고(week), 주문크기(week), 
생산확정구간(week), 생산간격(day),
네덜란드 유통센터 안전재고(week)</t>
    <phoneticPr fontId="1" type="noConversion"/>
  </si>
  <si>
    <t>1) 공급업체(Trio PET PLC)로부터 공급되는 원자재에 대한 거절율이 높음</t>
    <phoneticPr fontId="1" type="noConversion"/>
  </si>
  <si>
    <t>2) Trio PET PLC과(와) Seitan Vitamins의 납품신뢰성이 합의된 것보다 낮게나옴</t>
    <phoneticPr fontId="1" type="noConversion"/>
  </si>
  <si>
    <t>① 보다 높은 품질의 포장재를 공급받기 
② 허용오차가 더 높은 용기주입 라인 선택</t>
    <phoneticPr fontId="1" type="noConversion"/>
  </si>
  <si>
    <t>① 파레트 위치의 수를 감소.</t>
    <phoneticPr fontId="1" type="noConversion"/>
  </si>
  <si>
    <t>① 추가 교대근무를 도입 
② 작업의 양을 줄임.</t>
    <phoneticPr fontId="1" type="noConversion"/>
  </si>
  <si>
    <t xml:space="preserve">원자재 창고: 팔레트 위치 개수, 정직원 수
용기주입 라인: 교대근무 횟수, 준비교체 
                     시간단축 행동조치, 속도증대
완제품 창고: 팔레트 위치 개수, 정직원 수  </t>
    <phoneticPr fontId="1" type="noConversion"/>
  </si>
  <si>
    <t>1라운드에서 변경가능한 parameter</t>
    <phoneticPr fontId="1" type="noConversion"/>
  </si>
  <si>
    <t>1) 원자재 창고의 공간 활용율이 높음</t>
    <phoneticPr fontId="1" type="noConversion"/>
  </si>
  <si>
    <t>2) 완제품 창고의 공간 활용율이 낮음</t>
    <phoneticPr fontId="1" type="noConversion"/>
  </si>
  <si>
    <t>3) 스위스 필2에 대한 생산계획 준수율이 낮음</t>
    <phoneticPr fontId="1" type="noConversion"/>
  </si>
  <si>
    <t>4) 용기주입 라인(스위스 필2)가 높은 가동률을 보임</t>
    <phoneticPr fontId="1" type="noConversion"/>
  </si>
  <si>
    <r>
      <t xml:space="preserve">① </t>
    </r>
    <r>
      <rPr>
        <b/>
        <sz val="11"/>
        <color theme="1"/>
        <rFont val="맑은 고딕"/>
        <family val="3"/>
        <charset val="129"/>
        <scheme val="minor"/>
      </rPr>
      <t>원자재의 가용성 증가</t>
    </r>
    <r>
      <rPr>
        <sz val="11"/>
        <color theme="1"/>
        <rFont val="맑은 고딕"/>
        <family val="2"/>
        <charset val="129"/>
        <scheme val="minor"/>
      </rPr>
      <t>시키기 
② 용기주입 라인에서 초과근무를 줄이기</t>
    </r>
    <phoneticPr fontId="1" type="noConversion"/>
  </si>
  <si>
    <r>
      <t xml:space="preserve">① 비타민 C의 </t>
    </r>
    <r>
      <rPr>
        <b/>
        <sz val="11"/>
        <rFont val="맑은 고딕"/>
        <family val="3"/>
        <charset val="129"/>
        <scheme val="minor"/>
      </rPr>
      <t>원자재 가용성</t>
    </r>
    <r>
      <rPr>
        <sz val="11"/>
        <rFont val="맑은 고딕"/>
        <family val="3"/>
        <charset val="129"/>
        <scheme val="minor"/>
      </rPr>
      <t>이 낮다. </t>
    </r>
    <phoneticPr fontId="1" type="noConversion"/>
  </si>
  <si>
    <r>
      <t xml:space="preserve">① </t>
    </r>
    <r>
      <rPr>
        <b/>
        <sz val="11"/>
        <color theme="1"/>
        <rFont val="맑은 고딕"/>
        <family val="3"/>
        <charset val="129"/>
        <scheme val="minor"/>
      </rPr>
      <t>안전재고를 줄이기</t>
    </r>
    <r>
      <rPr>
        <sz val="11"/>
        <color theme="1"/>
        <rFont val="맑은 고딕"/>
        <family val="2"/>
        <charset val="129"/>
        <scheme val="minor"/>
      </rPr>
      <t xml:space="preserve">
② 재고 주문을 적은 크기의 배치로 함.</t>
    </r>
    <phoneticPr fontId="1" type="noConversion"/>
  </si>
  <si>
    <r>
      <t xml:space="preserve">① 더 많은 파레트 위치를 도입 
② </t>
    </r>
    <r>
      <rPr>
        <b/>
        <sz val="11"/>
        <color theme="1"/>
        <rFont val="맑은 고딕"/>
        <family val="3"/>
        <charset val="129"/>
        <scheme val="minor"/>
      </rPr>
      <t>원자재 창고 재고 감축</t>
    </r>
    <phoneticPr fontId="1" type="noConversion"/>
  </si>
  <si>
    <r>
      <t xml:space="preserve">① 완제품 창고 재고수준 줄이기 
② </t>
    </r>
    <r>
      <rPr>
        <b/>
        <sz val="11"/>
        <color theme="1"/>
        <rFont val="맑은 고딕"/>
        <family val="3"/>
        <charset val="129"/>
        <scheme val="minor"/>
      </rPr>
      <t>고객확보 유통기한 줄이기</t>
    </r>
    <phoneticPr fontId="1" type="noConversion"/>
  </si>
  <si>
    <r>
      <t xml:space="preserve">① 생산량을 늘려 기존 합의 서비스수준에 맞추기 
② </t>
    </r>
    <r>
      <rPr>
        <b/>
        <sz val="11"/>
        <color theme="1"/>
        <rFont val="맑은 고딕"/>
        <family val="3"/>
        <charset val="129"/>
        <scheme val="minor"/>
      </rPr>
      <t>회사 수준에 맞는 서비스 수준으로 낮춰 계약하기</t>
    </r>
    <phoneticPr fontId="1" type="noConversion"/>
  </si>
  <si>
    <r>
      <t xml:space="preserve">① </t>
    </r>
    <r>
      <rPr>
        <sz val="11"/>
        <color theme="1"/>
        <rFont val="맑은 고딕"/>
        <family val="3"/>
        <charset val="129"/>
        <scheme val="minor"/>
      </rPr>
      <t>안전재고를 증가</t>
    </r>
    <r>
      <rPr>
        <sz val="11"/>
        <color theme="1"/>
        <rFont val="맑은 고딕"/>
        <family val="2"/>
        <charset val="129"/>
        <scheme val="minor"/>
      </rPr>
      <t xml:space="preserve">시키기
② </t>
    </r>
    <r>
      <rPr>
        <b/>
        <sz val="11"/>
        <color theme="1"/>
        <rFont val="맑은 고딕"/>
        <family val="3"/>
        <charset val="129"/>
        <scheme val="minor"/>
      </rPr>
      <t>납품이 좀 더 신뢰할 수 있도록 조치</t>
    </r>
    <r>
      <rPr>
        <sz val="11"/>
        <color theme="1"/>
        <rFont val="맑은 고딕"/>
        <family val="2"/>
        <charset val="129"/>
        <scheme val="minor"/>
      </rPr>
      <t>.</t>
    </r>
    <phoneticPr fontId="1" type="noConversion"/>
  </si>
  <si>
    <t>원자재 가용성을 높이기 위해
(구매part) 공급업체와 납품신뢰성을 높여 계약함</t>
    <phoneticPr fontId="1" type="noConversion"/>
  </si>
  <si>
    <t>구매2)  특정 공급업체들의 납품신뢰성이 합의된 것보다 낮게나옴</t>
    <phoneticPr fontId="1" type="noConversion"/>
  </si>
  <si>
    <t xml:space="preserve">문제 상황 </t>
    <phoneticPr fontId="1" type="noConversion"/>
  </si>
  <si>
    <t>완제품 창고의 공간 활용율이 낮아 재고 수준을 줄일 수 없으므로
(판매part) 고객확보 유통기한을 줄여 
완제품 창고의 공간 활용율과 제품 진부화를 높임</t>
    <phoneticPr fontId="1" type="noConversion"/>
  </si>
  <si>
    <t>생산3) 스위스 필2에 대한 생산계획 준수율이 낮음</t>
    <phoneticPr fontId="1" type="noConversion"/>
  </si>
  <si>
    <t>판매2) F&amp;G, LAND사에 합의한 것보다 낮은 서비스수준을 제공함</t>
    <phoneticPr fontId="1" type="noConversion"/>
  </si>
  <si>
    <r>
      <t xml:space="preserve">SCM1) 비타민 C의 </t>
    </r>
    <r>
      <rPr>
        <b/>
        <sz val="11"/>
        <rFont val="맑은 고딕"/>
        <family val="3"/>
        <charset val="129"/>
        <scheme val="minor"/>
      </rPr>
      <t>원자재 가용성</t>
    </r>
    <r>
      <rPr>
        <sz val="11"/>
        <rFont val="맑은 고딕"/>
        <family val="3"/>
        <charset val="129"/>
        <scheme val="minor"/>
      </rPr>
      <t>이 낮다. </t>
    </r>
    <phoneticPr fontId="1" type="noConversion"/>
  </si>
  <si>
    <t>생산2) 완제품 창고의 공간 활용율이 낮음</t>
    <phoneticPr fontId="1" type="noConversion"/>
  </si>
  <si>
    <t>판매1) 일부 제품 진부화 (높은 폐기율을 보임)</t>
    <phoneticPr fontId="1" type="noConversion"/>
  </si>
  <si>
    <t>생산1) 원자재 창고의 공간 활용율이 높음</t>
    <phoneticPr fontId="1" type="noConversion"/>
  </si>
  <si>
    <t>SCM2) 1 리터 팩과 PET 의 보유 재고 수준이 높다.</t>
    <phoneticPr fontId="1" type="noConversion"/>
  </si>
  <si>
    <t>두 part 모두 원자재 창고의 재고 수준을 낮춰야 되기 때문에
(SCMpart) 안전재고를 줄임</t>
    <phoneticPr fontId="1" type="noConversion"/>
  </si>
  <si>
    <t>생산4) 용기주입 라인(스위스 필2)가 높은 가동률을 보임</t>
    <phoneticPr fontId="1" type="noConversion"/>
  </si>
  <si>
    <t>(생산part) 교대근무 수를 추가함</t>
    <phoneticPr fontId="1" type="noConversion"/>
  </si>
  <si>
    <t>구매1) 공급업체(Trio PET PLC)로부터 공급되는 원자재에 대한 거절율이 높음</t>
    <phoneticPr fontId="1" type="noConversion"/>
  </si>
  <si>
    <t>조치X</t>
    <phoneticPr fontId="1" type="noConversion"/>
  </si>
  <si>
    <t>종합 합의사항</t>
    <phoneticPr fontId="1" type="noConversion"/>
  </si>
  <si>
    <t>번호</t>
    <phoneticPr fontId="1" type="noConversion"/>
  </si>
  <si>
    <r>
      <rPr>
        <sz val="11"/>
        <rFont val="맑은 고딕"/>
        <family val="3"/>
        <charset val="129"/>
        <scheme val="minor"/>
      </rPr>
      <t>① 공급에 대한 높은 신뢰성을 가진 공급업체와 계약</t>
    </r>
    <r>
      <rPr>
        <sz val="11"/>
        <color theme="0" tint="-0.499984740745262"/>
        <rFont val="맑은 고딕"/>
        <family val="3"/>
        <charset val="129"/>
        <scheme val="minor"/>
      </rPr>
      <t xml:space="preserve">
</t>
    </r>
    <r>
      <rPr>
        <b/>
        <sz val="11"/>
        <rFont val="맑은 고딕"/>
        <family val="3"/>
        <charset val="129"/>
        <scheme val="minor"/>
      </rPr>
      <t>→기존 공급업체와 납품신뢰성을 높게 합의(계약)하기</t>
    </r>
    <r>
      <rPr>
        <sz val="11"/>
        <color theme="1"/>
        <rFont val="맑은 고딕"/>
        <family val="2"/>
        <charset val="129"/>
        <scheme val="minor"/>
      </rPr>
      <t xml:space="preserve">
② 불확실성을 대비하기 위해</t>
    </r>
    <r>
      <rPr>
        <sz val="11"/>
        <color theme="1"/>
        <rFont val="맑은 고딕"/>
        <family val="3"/>
        <charset val="129"/>
        <scheme val="minor"/>
      </rPr>
      <t xml:space="preserve"> 안전재고를 증가.</t>
    </r>
    <phoneticPr fontId="1" type="noConversion"/>
  </si>
  <si>
    <t>1. 교대근무 횟수 2회 → 3회</t>
    <phoneticPr fontId="1" type="noConversion"/>
  </si>
  <si>
    <t>1. 1L 팩과 PET의 안전재고 2 → 1.5</t>
    <phoneticPr fontId="1" type="noConversion"/>
  </si>
  <si>
    <t>1. 유통기한 75% → 70%
2. F&amp;G 서비스수준 95% → 91.9%
LAND Market 서비스수준 95% → 92.4%</t>
    <phoneticPr fontId="1" type="noConversion"/>
  </si>
  <si>
    <t>그 외</t>
    <phoneticPr fontId="1" type="noConversion"/>
  </si>
  <si>
    <t>의사결정 내용</t>
    <phoneticPr fontId="1" type="noConversion"/>
  </si>
  <si>
    <t>근거</t>
    <phoneticPr fontId="1" type="noConversion"/>
  </si>
  <si>
    <t>주문관리- 고객 우선순위 ( LAND &gt; F&amp;G &gt; Dominic)</t>
    <phoneticPr fontId="1" type="noConversion"/>
  </si>
  <si>
    <t>합의-실제공 서비스수준의 차가 클수록 우선순위 높다고 판단</t>
    <phoneticPr fontId="1" type="noConversion"/>
  </si>
  <si>
    <t>거래단위, 납품신뢰성, 납품구간</t>
    <phoneticPr fontId="1" type="noConversion"/>
  </si>
  <si>
    <t>PET</t>
    <phoneticPr fontId="1" type="noConversion"/>
  </si>
  <si>
    <t>SKU별 실적 (Domestic - ICH Dedicated SKUs)</t>
    <phoneticPr fontId="1" type="noConversion"/>
  </si>
  <si>
    <t>원자재</t>
    <phoneticPr fontId="1" type="noConversion"/>
  </si>
  <si>
    <t>오렌지</t>
    <phoneticPr fontId="1" type="noConversion"/>
  </si>
  <si>
    <t>망고</t>
    <phoneticPr fontId="1" type="noConversion"/>
  </si>
  <si>
    <t>비타민C</t>
    <phoneticPr fontId="1" type="noConversion"/>
  </si>
  <si>
    <t>1리터 팩</t>
    <phoneticPr fontId="1" type="noConversion"/>
  </si>
  <si>
    <t>① 일부 제품 진부화 (오렌지/망고 1리터, 오렌지 1리터, 오렌지 PET 높은 폐기율을 보임)</t>
    <phoneticPr fontId="1" type="noConversion"/>
  </si>
  <si>
    <t>변경 이유</t>
    <phoneticPr fontId="1" type="noConversion"/>
  </si>
  <si>
    <t>근무자에 유휴시간이 늘어남에 따라 불필요한 인건비 발생 
교대근무 줄이기, 이로인해 다시 발생한 추가근무를 없애기 위해 준비교체 시간단축 행동조치로 작업 전환시간을 줄여 추가 근무 발생을 억제함
*속도증대는 시간 당 생산량을 높이는 것이므로 추가근무 발생을 억제하진 못한다는 결론</t>
    <phoneticPr fontId="1" type="noConversion"/>
  </si>
  <si>
    <t>현재 원자재 창고 안전재고는 올릴 수 없으므로,
납품신뢰성을 올림(이때, 계약지수가 1이 되는 수치로 변경)</t>
    <phoneticPr fontId="1" type="noConversion"/>
  </si>
  <si>
    <r>
      <t xml:space="preserve">2라운드에서 변경가능한 parameter
</t>
    </r>
    <r>
      <rPr>
        <b/>
        <sz val="11"/>
        <color rgb="FFFF0000"/>
        <rFont val="맑은 고딕"/>
        <family val="3"/>
        <charset val="129"/>
        <scheme val="minor"/>
      </rPr>
      <t>(1회차와 동일)</t>
    </r>
    <phoneticPr fontId="1" type="noConversion"/>
  </si>
  <si>
    <t>안전재고+생산간격 ≤ 창고 유통기한</t>
    <phoneticPr fontId="1" type="noConversion"/>
  </si>
  <si>
    <t>부서별 문제-해결책</t>
    <phoneticPr fontId="1" type="noConversion"/>
  </si>
  <si>
    <r>
      <t xml:space="preserve">비타민 C의 </t>
    </r>
    <r>
      <rPr>
        <b/>
        <sz val="11"/>
        <rFont val="맑은 고딕"/>
        <family val="3"/>
        <charset val="129"/>
        <scheme val="minor"/>
      </rPr>
      <t>원자재 가용성</t>
    </r>
    <r>
      <rPr>
        <sz val="11"/>
        <rFont val="맑은 고딕"/>
        <family val="3"/>
        <charset val="129"/>
        <scheme val="minor"/>
      </rPr>
      <t>이 낮다. </t>
    </r>
    <phoneticPr fontId="1" type="noConversion"/>
  </si>
  <si>
    <t>*판매를 제외한 모든 부서들은 문제상황이 1회차의 워딩과 동일함</t>
    <phoneticPr fontId="1" type="noConversion"/>
  </si>
  <si>
    <t>parameter 변경 값</t>
    <phoneticPr fontId="1" type="noConversion"/>
  </si>
  <si>
    <t>특정 완제품 진부화: 높은 폐기율을 보임 
(오렌지 PET,오렌지/망고 PET, 오렌지/C-파워 PET)</t>
    <phoneticPr fontId="1" type="noConversion"/>
  </si>
  <si>
    <t>내용</t>
    <phoneticPr fontId="1" type="noConversion"/>
  </si>
  <si>
    <t>납품구간,거래단위는 원자재거절(불량)률과 관련이 없다.</t>
    <phoneticPr fontId="1" type="noConversion"/>
  </si>
  <si>
    <t>거부율 관련이 있는것: 품질, 인증 여부, 용기주입라인, 원자재 예방 검사</t>
    <phoneticPr fontId="1" type="noConversion"/>
  </si>
  <si>
    <t>생산계획준수율이 서비스수준과 직결된다</t>
    <phoneticPr fontId="1" type="noConversion"/>
  </si>
  <si>
    <t>회차별 parameter 변경사항</t>
    <phoneticPr fontId="1" type="noConversion"/>
  </si>
  <si>
    <t>ROUND 1</t>
    <phoneticPr fontId="1" type="noConversion"/>
  </si>
  <si>
    <t>1. vitamin 납품신뢰성 90% → 95%
2. PET 납품신뢰성 94% → 96%</t>
    <phoneticPr fontId="1" type="noConversion"/>
  </si>
  <si>
    <t>생산운영</t>
    <phoneticPr fontId="1" type="noConversion"/>
  </si>
  <si>
    <t>1. 모든 고객사의 유통기한 75% → 70%
2. F&amp;G 서비스수준 95% → 91.9%
LAND Market 서비스수준 95% → 92.4%</t>
    <phoneticPr fontId="1" type="noConversion"/>
  </si>
  <si>
    <t>팩 패트 비타민 비인증업체 → 납품신뢰성에 엄격해야해</t>
    <phoneticPr fontId="1" type="noConversion"/>
  </si>
  <si>
    <t>문제상황 해결 뿐만 아니라 이익 창출도 고려를 해야함</t>
    <phoneticPr fontId="1" type="noConversion"/>
  </si>
  <si>
    <t>판매파트에서 VMI설정은 판매 계약지수와 관계가 없다</t>
    <phoneticPr fontId="1" type="noConversion"/>
  </si>
  <si>
    <t>판매) 특정 완제품의 높은 폐기율</t>
    <phoneticPr fontId="1" type="noConversion"/>
  </si>
  <si>
    <t>구매) 특정 공급업체의 원자재 거절(불량)율이 높음</t>
    <phoneticPr fontId="1" type="noConversion"/>
  </si>
  <si>
    <t>생산) 용기주입라인의 가동률이 높음</t>
    <phoneticPr fontId="1" type="noConversion"/>
  </si>
  <si>
    <t>SCM) 특정 원자재의 가용성이 낮음</t>
    <phoneticPr fontId="1" type="noConversion"/>
  </si>
  <si>
    <t>납품신뢰성 (%)</t>
  </si>
  <si>
    <r>
      <rPr>
        <sz val="11"/>
        <color rgb="FF000000"/>
        <rFont val="Malgun Gothic"/>
        <family val="2"/>
        <charset val="129"/>
      </rPr>
      <t>공급업체가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약속된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리드타임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안에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납품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완료한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주문비율</t>
    </r>
    <phoneticPr fontId="29" type="noConversion"/>
  </si>
  <si>
    <r>
      <rPr>
        <sz val="11"/>
        <color rgb="FF000000"/>
        <rFont val="맑은 고딕"/>
        <family val="3"/>
        <charset val="129"/>
      </rPr>
      <t>진부화</t>
    </r>
    <r>
      <rPr>
        <sz val="11"/>
        <color theme="1"/>
        <rFont val="맑은 고딕"/>
        <family val="2"/>
        <charset val="129"/>
        <scheme val="minor"/>
      </rPr>
      <t xml:space="preserve"> (%)</t>
    </r>
    <phoneticPr fontId="29" type="noConversion"/>
  </si>
  <si>
    <r>
      <rPr>
        <sz val="11"/>
        <color rgb="FF000000"/>
        <rFont val="Malgun Gothic"/>
        <family val="2"/>
        <charset val="129"/>
      </rPr>
      <t>진부화로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인해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폐기된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완제품의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비율</t>
    </r>
    <phoneticPr fontId="29" type="noConversion"/>
  </si>
  <si>
    <t>원자재 가용성 (%)</t>
  </si>
  <si>
    <r>
      <rPr>
        <sz val="11"/>
        <color rgb="FF000000"/>
        <rFont val="Malgun Gothic"/>
        <family val="2"/>
        <charset val="129"/>
      </rPr>
      <t>즉시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생산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요청에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가능한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총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수요비율</t>
    </r>
    <r>
      <rPr>
        <sz val="11"/>
        <color theme="1"/>
        <rFont val="맑은 고딕"/>
        <family val="2"/>
        <charset val="129"/>
        <scheme val="minor"/>
      </rPr>
      <t xml:space="preserve">. </t>
    </r>
    <r>
      <rPr>
        <sz val="11"/>
        <color rgb="FF000000"/>
        <rFont val="Malgun Gothic"/>
        <family val="2"/>
        <charset val="129"/>
      </rPr>
      <t>생산에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대한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가용성은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생산계획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준수에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부정적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영향을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0000"/>
        <rFont val="Malgun Gothic"/>
        <family val="2"/>
        <charset val="129"/>
      </rPr>
      <t>준다</t>
    </r>
    <r>
      <rPr>
        <sz val="11"/>
        <color theme="1"/>
        <rFont val="맑은 고딕"/>
        <family val="2"/>
        <charset val="129"/>
        <scheme val="minor"/>
      </rPr>
      <t>.</t>
    </r>
    <phoneticPr fontId="29" type="noConversion"/>
  </si>
  <si>
    <t>주문 라인품목</t>
  </si>
  <si>
    <t>용어</t>
    <phoneticPr fontId="1" type="noConversion"/>
  </si>
  <si>
    <t>의미</t>
    <phoneticPr fontId="1" type="noConversion"/>
  </si>
  <si>
    <t>특정 공급업체에서 공급받은 원자재 거절율이 높음
(Trio PET PLC)</t>
    <phoneticPr fontId="1" type="noConversion"/>
  </si>
  <si>
    <t>용기주입 라인의 가동률이 낮음 
(이는 노무비가 너무 높다는 것을 의미)</t>
    <phoneticPr fontId="1" type="noConversion"/>
  </si>
  <si>
    <r>
      <t xml:space="preserve">① 해당 원자재의 안전재고 증가시키기
</t>
    </r>
    <r>
      <rPr>
        <b/>
        <sz val="11"/>
        <color theme="1"/>
        <rFont val="맑은 고딕"/>
        <family val="3"/>
        <charset val="129"/>
        <scheme val="minor"/>
      </rPr>
      <t>② 해당 원자재의 납품신뢰성 높여 계약하기</t>
    </r>
    <phoneticPr fontId="1" type="noConversion"/>
  </si>
  <si>
    <t>그 외 (이익 창출 관점)</t>
    <phoneticPr fontId="1" type="noConversion"/>
  </si>
  <si>
    <t>비타민C 납품신뢰성 95% → 97.78%
PET 납품신뢰성 96% → 99%</t>
    <phoneticPr fontId="1" type="noConversion"/>
  </si>
  <si>
    <t>(구매) 해당 원자재의 납품신뢰성 높임 (95→97.78%)</t>
    <phoneticPr fontId="1" type="noConversion"/>
  </si>
  <si>
    <t>(구매) 해당 원자재의 납품신뢰성 높임 (96→99%)</t>
    <phoneticPr fontId="1" type="noConversion"/>
  </si>
  <si>
    <t>(생산) ① 교대근무 횟수 감소(3→2회)
        ② SMED조치</t>
    <phoneticPr fontId="1" type="noConversion"/>
  </si>
  <si>
    <t>1. 비타민 납풉신뢰성 90% → 95%
2. PET 94→96</t>
    <phoneticPr fontId="1" type="noConversion"/>
  </si>
  <si>
    <r>
      <rPr>
        <sz val="11"/>
        <color theme="0" tint="-0.499984740745262"/>
        <rFont val="맑은 고딕"/>
        <family val="3"/>
        <charset val="129"/>
        <scheme val="minor"/>
      </rPr>
      <t>① 보다 높은 품질의 포장재를 공급받기</t>
    </r>
    <r>
      <rPr>
        <sz val="11"/>
        <color theme="1"/>
        <rFont val="맑은 고딕"/>
        <family val="2"/>
        <charset val="129"/>
        <scheme val="minor"/>
      </rPr>
      <t xml:space="preserve"> 
</t>
    </r>
    <r>
      <rPr>
        <sz val="11"/>
        <color theme="0" tint="-0.499984740745262"/>
        <rFont val="맑은 고딕"/>
        <family val="3"/>
        <charset val="129"/>
        <scheme val="minor"/>
      </rPr>
      <t xml:space="preserve">② 허용오차가 더 높은 용기주입 라인 선택
</t>
    </r>
    <r>
      <rPr>
        <b/>
        <sz val="11"/>
        <rFont val="맑은 고딕"/>
        <family val="3"/>
        <charset val="129"/>
        <scheme val="minor"/>
      </rPr>
      <t>③ 납품신뢰성 올려 계약하기</t>
    </r>
    <phoneticPr fontId="1" type="noConversion"/>
  </si>
  <si>
    <t>주문마감시간: 늦을수록 계약지수↑, but 완제품창고가 제시간에 모든 주문라인을 처리할수없게됨 → 낮은 서비스수준 제공</t>
    <phoneticPr fontId="1" type="noConversion"/>
  </si>
  <si>
    <t>주문관리: 재고 부족 시 결품규칙 (ex. 등비율/FCFS/고객우선순위)</t>
    <phoneticPr fontId="1" type="noConversion"/>
  </si>
  <si>
    <r>
      <t>진부화 영향 미치는 3대요소: 유통기한,</t>
    </r>
    <r>
      <rPr>
        <b/>
        <sz val="11"/>
        <color theme="1"/>
        <rFont val="맑은 고딕"/>
        <family val="3"/>
        <charset val="129"/>
        <scheme val="minor"/>
      </rPr>
      <t>생산간격,완제품안전재고</t>
    </r>
    <r>
      <rPr>
        <sz val="11"/>
        <color theme="1"/>
        <rFont val="맑은 고딕"/>
        <family val="2"/>
        <charset val="129"/>
        <scheme val="minor"/>
      </rPr>
      <t xml:space="preserve">
생산간격이 길어지면 진부화확률이 올라감</t>
    </r>
    <phoneticPr fontId="1" type="noConversion"/>
  </si>
  <si>
    <t>서비스 수준</t>
    <phoneticPr fontId="1" type="noConversion"/>
  </si>
  <si>
    <r>
      <rPr>
        <sz val="11"/>
        <color rgb="FF000000"/>
        <rFont val="맑은 고딕"/>
        <family val="2"/>
        <charset val="129"/>
      </rPr>
      <t>고객에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대한 정시납품율(%)</t>
    </r>
    <phoneticPr fontId="1" type="noConversion"/>
  </si>
  <si>
    <t>원자재 납품구간을 늘리면 제품가용성 저해</t>
    <phoneticPr fontId="1" type="noConversion"/>
  </si>
  <si>
    <t>문제점 조치 합의사항</t>
    <phoneticPr fontId="1" type="noConversion"/>
  </si>
  <si>
    <t>1라운드 = 6달 = 26주</t>
    <phoneticPr fontId="1" type="noConversion"/>
  </si>
  <si>
    <t>완제품안전재고↑, 생산계획준수율↑=서비스수준↑</t>
    <phoneticPr fontId="1" type="noConversion"/>
  </si>
  <si>
    <t>수식 정리</t>
    <phoneticPr fontId="1" type="noConversion"/>
  </si>
  <si>
    <t>안전재고+생산간격 ≤ 창고 유통기한</t>
  </si>
  <si>
    <t>용어 정리</t>
    <phoneticPr fontId="1" type="noConversion"/>
  </si>
  <si>
    <t>판매) 팔레트 단 = 팔레트*5 를 의미함. 
고객은 작은 거래단위를 선호하지만 그럴경우 완제품 창고 업무가 증가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</si>
  <si>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① 해당 완제품 창고 재고수준 줄이기 </t>
    </r>
    <r>
      <rPr>
        <sz val="11"/>
        <color theme="1"/>
        <rFont val="맑은 고딕"/>
        <family val="3"/>
        <charset val="129"/>
        <scheme val="minor"/>
      </rPr>
      <t xml:space="preserve">
② 고객확보 유통기한 줄이기
③ 생산간격 줄이기</t>
    </r>
    <phoneticPr fontId="1" type="noConversion"/>
  </si>
  <si>
    <r>
      <t xml:space="preserve">① 교대근무 제거 or 더 많은 작업이 있도록 조치.
</t>
    </r>
    <r>
      <rPr>
        <sz val="11"/>
        <color theme="1"/>
        <rFont val="맑은 고딕"/>
        <family val="3"/>
        <charset val="129"/>
        <scheme val="minor"/>
      </rPr>
      <t>② 생산속도 증대</t>
    </r>
    <phoneticPr fontId="1" type="noConversion"/>
  </si>
  <si>
    <t>① 교대근무 3회→2회
② SMED(준비교체 시간단축 행동조치)</t>
    <phoneticPr fontId="1" type="noConversion"/>
  </si>
  <si>
    <r>
      <t xml:space="preserve">① 완제품 창고 재고수준 SCM부서에서 변경
</t>
    </r>
    <r>
      <rPr>
        <b/>
        <sz val="11"/>
        <color rgb="FF00B050"/>
        <rFont val="맑은 고딕"/>
        <family val="3"/>
        <charset val="129"/>
        <scheme val="minor"/>
      </rPr>
      <t>② 서비스수준 높여 계약 (고객사별로 달리)</t>
    </r>
    <phoneticPr fontId="1" type="noConversion"/>
  </si>
  <si>
    <t>전 회차 의사결정에 따른 제공 서비스수준이 95% 이상으로 준수하므로, 계약 서비스수준을 높여도 된다고 판단함</t>
    <phoneticPr fontId="1" type="noConversion"/>
  </si>
  <si>
    <r>
      <t xml:space="preserve">안전재고(3주)+생산간격(1.4주) ≤ 창고 유통기한(20주*(1-0.83))
</t>
    </r>
    <r>
      <rPr>
        <b/>
        <sz val="11"/>
        <rFont val="맑은 고딕"/>
        <family val="3"/>
        <charset val="129"/>
        <scheme val="minor"/>
      </rPr>
      <t>기존에는 이 식에 위배되는 상황이었기에 성립되게 수정</t>
    </r>
    <phoneticPr fontId="1" type="noConversion"/>
  </si>
  <si>
    <t>① 해당 제품들의 안전재고 수정(3주→2주)</t>
    <phoneticPr fontId="1" type="noConversion"/>
  </si>
  <si>
    <t>(SCM) 해당 제품의 안전재고 감소(3→2주)</t>
    <phoneticPr fontId="1" type="noConversion"/>
  </si>
  <si>
    <t>1회차 보고서에 따른 고객별로 실제 제공한 서비스수준과  동일하게 높여 서비스수준 계약</t>
    <phoneticPr fontId="1" type="noConversion"/>
  </si>
  <si>
    <t>F&amp;G 서비스수준 91.9%→97%
LAND 서비스수준 92.4% → 98.0%
도미닉 서비스수준 95% → 98.0%</t>
    <phoneticPr fontId="1" type="noConversion"/>
  </si>
  <si>
    <t>이전회차에 계약 시 서비스수준이 실제공서비스수준을 못따라가서 벌금을 냈기에 내린거였고</t>
    <phoneticPr fontId="1" type="noConversion"/>
  </si>
  <si>
    <t>즉시 생산 요청에 가능한 총 수요비율. 생산에 대한 낮은 가용성은 생산계획 준수에 부정적 영향을 준다.</t>
  </si>
  <si>
    <t>구매쪽에서 거래단위 크기 증가시키면 원자재 창고 평균 재고 증가</t>
    <phoneticPr fontId="1" type="noConversion"/>
  </si>
  <si>
    <r>
      <t xml:space="preserve">특정 완제품 진부화: 높은 폐기율을 보임 
(오렌지 1L,오렌지/망고 1L, 오렌지/C-파워 1L) </t>
    </r>
    <r>
      <rPr>
        <b/>
        <sz val="11"/>
        <color rgb="FFFF0000"/>
        <rFont val="맑은 고딕"/>
        <family val="3"/>
        <charset val="129"/>
        <scheme val="major"/>
      </rPr>
      <t>←2R과 반대</t>
    </r>
    <phoneticPr fontId="1" type="noConversion"/>
  </si>
  <si>
    <t>모든 고객사에 합의된 것보다 낮은 서비스 수준을 제공함
(Dominick's과 Food &amp; Groceries과 LAND Market)</t>
    <phoneticPr fontId="1" type="noConversion"/>
  </si>
  <si>
    <t>① 감당가능한 수준으로 서비스수준 낮춰 계약하기
② 서비스수준을 높일 수 있는 파라미터 조정하기</t>
    <phoneticPr fontId="1" type="noConversion"/>
  </si>
  <si>
    <t>3라운드에서 변경가능한 parameter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</si>
  <si>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</si>
  <si>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</si>
  <si>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</si>
  <si>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ROUND 5</t>
    <phoneticPr fontId="1" type="noConversion"/>
  </si>
  <si>
    <t>ROUND 6</t>
    <phoneticPr fontId="1" type="noConversion"/>
  </si>
  <si>
    <t>오렌지/망고 PET, 오렌지/C-파워 PET의 낮은 수준</t>
    <phoneticPr fontId="1" type="noConversion"/>
  </si>
  <si>
    <t>① 안전재고 증가
② 완제품 생산을 큰 크기의 배치</t>
    <phoneticPr fontId="1" type="noConversion"/>
  </si>
  <si>
    <t>완제품 창고의 공간활용율이 낮음</t>
    <phoneticPr fontId="1" type="noConversion"/>
  </si>
  <si>
    <t>팔레트 위치의 수를 감소</t>
    <phoneticPr fontId="1" type="noConversion"/>
  </si>
  <si>
    <t>① 추가 교대근무를 도입
② 작업의 양을 줄임</t>
    <phoneticPr fontId="1" type="noConversion"/>
  </si>
  <si>
    <t>용기주입 라인에 대한 생산계획 준수율이 낮음</t>
    <phoneticPr fontId="1" type="noConversion"/>
  </si>
  <si>
    <t>용기주입 라인의 가동률이 높음</t>
    <phoneticPr fontId="1" type="noConversion"/>
  </si>
  <si>
    <t>원자재 안전재고(week), 주문크기(week), 
생산확정구간(week), 생산간격(day),
네덜란드 유통센터 안전재고(week)</t>
    <phoneticPr fontId="1" type="noConversion"/>
  </si>
  <si>
    <r>
      <t xml:space="preserve">서비스수준(%), 유통기한(%)
거래단위 - 파레트, 파레트 층(단), 박스
주문마감시간 - 12, 2, 5, 8pm
</t>
    </r>
    <r>
      <rPr>
        <b/>
        <sz val="11"/>
        <color rgb="FF7030A0"/>
        <rFont val="맑은 고딕"/>
        <family val="3"/>
        <charset val="129"/>
        <scheme val="minor"/>
      </rPr>
      <t>지불조건(weeks, 1~8사이 정수)</t>
    </r>
    <r>
      <rPr>
        <sz val="11"/>
        <color theme="1"/>
        <rFont val="맑은 고딕"/>
        <family val="2"/>
        <charset val="129"/>
        <scheme val="minor"/>
      </rPr>
      <t xml:space="preserve">
주문관리 - 결품규칙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</si>
  <si>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원자재 창고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b/>
        <sz val="11"/>
        <color rgb="FF7030A0"/>
        <rFont val="맑은 고딕"/>
        <family val="3"/>
        <charset val="129"/>
        <scheme val="minor"/>
      </rPr>
      <t>각 공급업체에 대한 원자재 검사</t>
    </r>
    <r>
      <rPr>
        <sz val="11"/>
        <color theme="1"/>
        <rFont val="맑은 고딕"/>
        <family val="2"/>
        <charset val="129"/>
        <scheme val="minor"/>
      </rPr>
      <t xml:space="preserve">, 팔레트 위치 개수, 정직원 수, </t>
    </r>
    <r>
      <rPr>
        <b/>
        <sz val="11"/>
        <color rgb="FF7030A0"/>
        <rFont val="맑은 고딕"/>
        <family val="3"/>
        <charset val="129"/>
        <scheme val="minor"/>
      </rPr>
      <t xml:space="preserve">입고처리 시간 (days)
</t>
    </r>
    <r>
      <rPr>
        <b/>
        <sz val="11"/>
        <rFont val="맑은 고딕"/>
        <family val="3"/>
        <charset val="129"/>
        <scheme val="minor"/>
      </rPr>
      <t>용기주입 라인:</t>
    </r>
    <r>
      <rPr>
        <b/>
        <sz val="11"/>
        <color rgb="FF7030A0"/>
        <rFont val="맑은 고딕"/>
        <family val="3"/>
        <charset val="129"/>
        <scheme val="minor"/>
      </rPr>
      <t xml:space="preserve"> 예방정비</t>
    </r>
    <r>
      <rPr>
        <b/>
        <sz val="9"/>
        <color rgb="FF7030A0"/>
        <rFont val="맑은 고딕"/>
        <family val="3"/>
        <charset val="129"/>
        <scheme val="minor"/>
      </rPr>
      <t>(없음, 적음, 많음)</t>
    </r>
    <r>
      <rPr>
        <b/>
        <sz val="11"/>
        <color rgb="FF7030A0"/>
        <rFont val="맑은 고딕"/>
        <family val="3"/>
        <charset val="129"/>
        <scheme val="minor"/>
      </rPr>
      <t>, 고장해결 훈련(y/n)</t>
    </r>
    <r>
      <rPr>
        <sz val="11"/>
        <color theme="1"/>
        <rFont val="맑은 고딕"/>
        <family val="2"/>
        <charset val="129"/>
        <scheme val="minor"/>
      </rPr>
      <t xml:space="preserve">, 교대근무 횟수(1~5), 준비교체 시간단축 행동조치(y/n), 속도증대(y/n)
</t>
    </r>
    <r>
      <rPr>
        <b/>
        <sz val="11"/>
        <color theme="1"/>
        <rFont val="맑은 고딕"/>
        <family val="3"/>
        <charset val="129"/>
        <scheme val="minor"/>
      </rPr>
      <t>완제품 창고</t>
    </r>
    <r>
      <rPr>
        <sz val="11"/>
        <color theme="1"/>
        <rFont val="맑은 고딕"/>
        <family val="2"/>
        <charset val="129"/>
        <scheme val="minor"/>
      </rPr>
      <t xml:space="preserve">: 팔레트 위치 개수, 정직원 수  </t>
    </r>
    <phoneticPr fontId="1" type="noConversion"/>
  </si>
  <si>
    <t>납품거절율(%)</t>
    <phoneticPr fontId="1" type="noConversion"/>
  </si>
  <si>
    <t>납품 불량률</t>
    <phoneticPr fontId="1" type="noConversion"/>
  </si>
  <si>
    <t>고객확보유통기한 높이고, 서비스수준을 높이고 싶으면 생산간격, 생산확정구간을 짧게 하라</t>
    <phoneticPr fontId="29" type="noConversion"/>
  </si>
  <si>
    <t>용기주입</t>
    <phoneticPr fontId="1" type="noConversion"/>
  </si>
  <si>
    <t>완제품</t>
    <phoneticPr fontId="1" type="noConversion"/>
  </si>
  <si>
    <t>원자재(용액)들의 유통기한 52주를 감안해서 조정해야할 파라가 있지 않을까?</t>
    <phoneticPr fontId="1" type="noConversion"/>
  </si>
  <si>
    <t>부서별 문제-해결책 / 이번 라운드 목표: 일단 생산량을 늘려버리고, 다음 회차때 발생한 문제점을 해결해보자)</t>
    <phoneticPr fontId="1" type="noConversion"/>
  </si>
  <si>
    <t>상관관계 정리</t>
    <phoneticPr fontId="1" type="noConversion"/>
  </si>
  <si>
    <t>의문사항</t>
    <phoneticPr fontId="1" type="noConversion"/>
  </si>
  <si>
    <t>가동시간을 늘리는 방법 
①작업전환시간 감소 ②고장시간을 줄이기</t>
    <phoneticPr fontId="1" type="noConversion"/>
  </si>
  <si>
    <t>교대횟수 2→3회, SMED, 고장예방검사(3h)</t>
    <phoneticPr fontId="1" type="noConversion"/>
  </si>
  <si>
    <t>납품신뢰성을 올렸음에도 불구, 거절율이 회복되지 않았다는 점, 타 팀들의 평균 거절율 또한 같은 수치로 유지되는 것으로 미루어보아 납품신뢰성과 원자재 거절율은 관계가 없음.</t>
    <phoneticPr fontId="1" type="noConversion"/>
  </si>
  <si>
    <t>① 원자재 가용성을 증가시키기
② 용기주입 라인에서 초과근무를 줄임</t>
    <phoneticPr fontId="1" type="noConversion"/>
  </si>
  <si>
    <t>원자재 구매금액 = 구매량(L or 개수) * 기준 구매가 * 구매계약지수 + 운송비</t>
    <phoneticPr fontId="1" type="noConversion"/>
  </si>
  <si>
    <t>리드타임과 운송비는 직접적인 관계가 없다.</t>
    <phoneticPr fontId="1" type="noConversion"/>
  </si>
  <si>
    <t>운송비는 운송거리, 운송횟수, 운송수단에 영향을 받음.</t>
    <phoneticPr fontId="1" type="noConversion"/>
  </si>
  <si>
    <t>원자재 구매금액 = 구매량(L or 개수) * 기준 구매가 * 구매계약지수 + 운송비</t>
    <phoneticPr fontId="1" type="noConversion"/>
  </si>
  <si>
    <t>① Trio PET PLC 업체에서 공급받는 원자재의 품질을 나쁨 -&gt; 중간 or 높음 으로 조정
② PET 공급업체 교체
③ 허용오차가 더 높은 용기주입 라인 선택</t>
    <phoneticPr fontId="1" type="noConversion"/>
  </si>
  <si>
    <t xml:space="preserve"> </t>
    <phoneticPr fontId="1" type="noConversion"/>
  </si>
  <si>
    <t>불량률과 제품 진부화는 별개의 문제다. 불량률은 품질과, 진부화는 과다 재고로 인한 유통기한 경과로 폐기되는 것이다.</t>
    <phoneticPr fontId="1" type="noConversion"/>
  </si>
  <si>
    <t>교대횟수에 따른 총 근무시간 = 가동 + 작업전환 + 고장 + 미사용 캐파 - 초과근무</t>
    <phoneticPr fontId="1" type="noConversion"/>
  </si>
  <si>
    <t>완제품 판매금액 = 판매량 * 기준 판매가 * 계약지수</t>
    <phoneticPr fontId="1" type="noConversion"/>
  </si>
  <si>
    <t>생산계획준수율은 생산라인 캐파 &amp; 원자재가용성이 직접적으로 영향을 미친다.</t>
    <phoneticPr fontId="1" type="noConversion"/>
  </si>
  <si>
    <t>지불기간(week)</t>
  </si>
  <si>
    <r>
      <rPr>
        <sz val="11"/>
        <color rgb="FF000000"/>
        <rFont val="맑은 고딕"/>
        <family val="2"/>
        <charset val="129"/>
      </rPr>
      <t>고객이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우리한테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배송비를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지불해야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기간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맑은 고딕"/>
        <family val="2"/>
        <charset val="129"/>
      </rPr>
      <t>늦을수록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좋아함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맑은 고딕"/>
        <family val="2"/>
        <charset val="129"/>
      </rPr>
      <t>판매부서는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반대로</t>
    </r>
    <phoneticPr fontId="1" type="noConversion"/>
  </si>
  <si>
    <t>생산량(가동시간) 증대와 초과근무 시간 제거를 위함</t>
    <phoneticPr fontId="1" type="noConversion"/>
  </si>
  <si>
    <t>안전재고(w)+생산간격(d) ≤ 20*(1-고객확보기한)</t>
    <phoneticPr fontId="1" type="noConversion"/>
  </si>
  <si>
    <t>공급업체 변경: trio → plantin</t>
    <phoneticPr fontId="1" type="noConversion"/>
  </si>
  <si>
    <t>안전재고</t>
    <phoneticPr fontId="29" type="noConversion"/>
  </si>
  <si>
    <t>생산간격</t>
    <phoneticPr fontId="29" type="noConversion"/>
  </si>
  <si>
    <t>창고 유통기한(F/G,L)</t>
    <phoneticPr fontId="29" type="noConversion"/>
  </si>
  <si>
    <t>창고 유통기한(D)</t>
    <phoneticPr fontId="29" type="noConversion"/>
  </si>
  <si>
    <t>Compliance</t>
  </si>
  <si>
    <t>푸레시 오렌지 1리터</t>
    <phoneticPr fontId="29" type="noConversion"/>
  </si>
  <si>
    <t>푸레시 오렌지/망고 1리터</t>
    <phoneticPr fontId="29" type="noConversion"/>
  </si>
  <si>
    <t>푸레시 오렌지/C-파워 1리터</t>
    <phoneticPr fontId="29" type="noConversion"/>
  </si>
  <si>
    <t>푸레시 오렌지 PET</t>
    <phoneticPr fontId="29" type="noConversion"/>
  </si>
  <si>
    <t>푸레시 오렌지/망고 PET</t>
    <phoneticPr fontId="29" type="noConversion"/>
  </si>
  <si>
    <t>푸레시 오렌지/C-파워 PET</t>
    <phoneticPr fontId="29" type="noConversion"/>
  </si>
  <si>
    <t>&lt;수식1&gt; 안전재고(w)+생산간격(d) ≤ 창고 유통기한 (20*(1-고객확보기한))</t>
    <phoneticPr fontId="1" type="noConversion"/>
  </si>
  <si>
    <r>
      <rPr>
        <sz val="11"/>
        <color rgb="FF7030A0"/>
        <rFont val="맑은 고딕"/>
        <family val="3"/>
        <charset val="129"/>
        <scheme val="minor"/>
      </rPr>
      <t>지불조건(weeks, 1~8사이의 정수)</t>
    </r>
    <r>
      <rPr>
        <sz val="11"/>
        <color theme="1"/>
        <rFont val="맑은 고딕"/>
        <family val="2"/>
        <charset val="129"/>
        <scheme val="minor"/>
      </rPr>
      <t xml:space="preserve">
거래단위(팔레트, 팔레트 단, 풀트럭, 드럼, IBC, 탱크)
합의된 납품신뢰성(%, 0~100사이의 실수)
납품구간(4h, 1D, 2D, 1W)
</t>
    </r>
    <r>
      <rPr>
        <sz val="11"/>
        <color rgb="FF7030A0"/>
        <rFont val="맑은 고딕"/>
        <family val="3"/>
        <charset val="129"/>
        <scheme val="minor"/>
      </rPr>
      <t>품질(높음, 중간, 나쁨)</t>
    </r>
    <phoneticPr fontId="1" type="noConversion"/>
  </si>
  <si>
    <t>원자재 품질</t>
    <phoneticPr fontId="1" type="noConversion"/>
  </si>
  <si>
    <t>공급업체 변경</t>
    <phoneticPr fontId="1" type="noConversion"/>
  </si>
  <si>
    <t>지불조건(weeks)</t>
    <phoneticPr fontId="1" type="noConversion"/>
  </si>
  <si>
    <t>거래단위</t>
    <phoneticPr fontId="1" type="noConversion"/>
  </si>
  <si>
    <t>납품구간</t>
    <phoneticPr fontId="1" type="noConversion"/>
  </si>
  <si>
    <t>Purchasing</t>
    <phoneticPr fontId="1" type="noConversion"/>
  </si>
  <si>
    <t>나쁨/보통/좋음</t>
    <phoneticPr fontId="1" type="noConversion"/>
  </si>
  <si>
    <t>원자재 검사</t>
    <phoneticPr fontId="1" type="noConversion"/>
  </si>
  <si>
    <t>팔레트 위치(수)</t>
    <phoneticPr fontId="1" type="noConversion"/>
  </si>
  <si>
    <t>정규직 수</t>
    <phoneticPr fontId="1" type="noConversion"/>
  </si>
  <si>
    <t>입고처리시간(day)</t>
    <phoneticPr fontId="1" type="noConversion"/>
  </si>
  <si>
    <t>혼합라인</t>
    <phoneticPr fontId="1" type="noConversion"/>
  </si>
  <si>
    <t>혼합기 변경</t>
    <phoneticPr fontId="1" type="noConversion"/>
  </si>
  <si>
    <t>혼합기 버리기</t>
    <phoneticPr fontId="1" type="noConversion"/>
  </si>
  <si>
    <t>제품에 혼합기 할당하기</t>
    <phoneticPr fontId="1" type="noConversion"/>
  </si>
  <si>
    <t>용기주입라인</t>
    <phoneticPr fontId="1" type="noConversion"/>
  </si>
  <si>
    <t>예방정비</t>
    <phoneticPr fontId="1" type="noConversion"/>
  </si>
  <si>
    <t>고장해결훈련</t>
    <phoneticPr fontId="1" type="noConversion"/>
  </si>
  <si>
    <t>페트병 부풀리기</t>
    <phoneticPr fontId="1" type="noConversion"/>
  </si>
  <si>
    <t>교대근무 횟수</t>
    <phoneticPr fontId="1" type="noConversion"/>
  </si>
  <si>
    <t>SMED(작업전환시간감소)</t>
    <phoneticPr fontId="1" type="noConversion"/>
  </si>
  <si>
    <t>속도 증가</t>
    <phoneticPr fontId="1" type="noConversion"/>
  </si>
  <si>
    <t>세척 물 절약</t>
    <phoneticPr fontId="1" type="noConversion"/>
  </si>
  <si>
    <t>시운전 생산성 손실 감소</t>
    <phoneticPr fontId="1" type="noConversion"/>
  </si>
  <si>
    <t>에너지 사용 감소</t>
    <phoneticPr fontId="1" type="noConversion"/>
  </si>
  <si>
    <t>용기주입라인 변경</t>
    <phoneticPr fontId="1" type="noConversion"/>
  </si>
  <si>
    <t>용기주입라인 버리기</t>
    <phoneticPr fontId="1" type="noConversion"/>
  </si>
  <si>
    <t>제품에 용기주입라인 할당하기</t>
    <phoneticPr fontId="1" type="noConversion"/>
  </si>
  <si>
    <t>아웃소싱</t>
    <phoneticPr fontId="1" type="noConversion"/>
  </si>
  <si>
    <t>Operation</t>
    <phoneticPr fontId="1" type="noConversion"/>
  </si>
  <si>
    <t>합의된 서비스수준(%)</t>
    <phoneticPr fontId="1" type="noConversion"/>
  </si>
  <si>
    <t>고객확보 유통기한(%)</t>
    <phoneticPr fontId="1" type="noConversion"/>
  </si>
  <si>
    <t>주문마감시간</t>
    <phoneticPr fontId="1" type="noConversion"/>
  </si>
  <si>
    <t>12, 2, 5, 8pm</t>
    <phoneticPr fontId="1" type="noConversion"/>
  </si>
  <si>
    <t>카테고리관리</t>
    <phoneticPr fontId="1" type="noConversion"/>
  </si>
  <si>
    <t>주문관리 - 결품분배규칙</t>
    <phoneticPr fontId="1" type="noConversion"/>
  </si>
  <si>
    <t>주문크기(week)</t>
    <phoneticPr fontId="1" type="noConversion"/>
  </si>
  <si>
    <t>안전재고(week)</t>
    <phoneticPr fontId="1" type="noConversion"/>
  </si>
  <si>
    <t>생산확정구간(week)</t>
  </si>
  <si>
    <t>생산확정구간(week)</t>
    <phoneticPr fontId="1" type="noConversion"/>
  </si>
  <si>
    <t>제품</t>
    <phoneticPr fontId="1" type="noConversion"/>
  </si>
  <si>
    <t>생산간격(day)</t>
    <phoneticPr fontId="1" type="noConversion"/>
  </si>
  <si>
    <t>Input</t>
    <phoneticPr fontId="1" type="noConversion"/>
  </si>
  <si>
    <t>Output</t>
    <phoneticPr fontId="1" type="noConversion"/>
  </si>
  <si>
    <t>Department</t>
    <phoneticPr fontId="1" type="noConversion"/>
  </si>
  <si>
    <t>Sales</t>
    <phoneticPr fontId="1" type="noConversion"/>
  </si>
  <si>
    <t>Parameters</t>
    <phoneticPr fontId="1" type="noConversion"/>
  </si>
  <si>
    <t>지불조건(weeks, 1~8사이의 정수)
거래단위(팔레트, 팔레트 단, 풀트럭, 드럼, IBC, 탱크)
합의된 납품신뢰성(%, 0~100사이의 실수)
납품구간(4h, 1D, 2D, 1W)
품질(높음, 중간, 나쁨)</t>
    <phoneticPr fontId="1" type="noConversion"/>
  </si>
  <si>
    <t>각 공급업체에 대한 원자재 검사, 팔레트 위치 개수, 정직원 수, 입고처리 시간 (days)</t>
    <phoneticPr fontId="1" type="noConversion"/>
  </si>
  <si>
    <t>예방정비(없음, 적음, 많음), 고장해결 훈련(y/n), 교대근무 횟수(1~5), 준비교체 시간단축 행동조치(y/n), 속도증대(y/n)</t>
    <phoneticPr fontId="1" type="noConversion"/>
  </si>
  <si>
    <t xml:space="preserve">팔레트 위치 개수, 정직원 수  </t>
    <phoneticPr fontId="1" type="noConversion"/>
  </si>
  <si>
    <t xml:space="preserve">안전재고(week), 주문크기(week), </t>
  </si>
  <si>
    <t>안전재고(week), 생산간격(day)</t>
    <phoneticPr fontId="1" type="noConversion"/>
  </si>
  <si>
    <t>카테고리</t>
    <phoneticPr fontId="1" type="noConversion"/>
  </si>
  <si>
    <t>Y/N</t>
    <phoneticPr fontId="1" type="noConversion"/>
  </si>
  <si>
    <t>0~10,000 정수</t>
    <phoneticPr fontId="1" type="noConversion"/>
  </si>
  <si>
    <t xml:space="preserve">1~15 </t>
    <phoneticPr fontId="1" type="noConversion"/>
  </si>
  <si>
    <t>0~50 정수</t>
    <phoneticPr fontId="1" type="noConversion"/>
  </si>
  <si>
    <t>없음, 적음, 많음</t>
    <phoneticPr fontId="1" type="noConversion"/>
  </si>
  <si>
    <t>1~5 정수</t>
    <phoneticPr fontId="1" type="noConversion"/>
  </si>
  <si>
    <t>75~100%</t>
    <phoneticPr fontId="1" type="noConversion"/>
  </si>
  <si>
    <t>40~85%</t>
    <phoneticPr fontId="1" type="noConversion"/>
  </si>
  <si>
    <t>팔레트, 팔레트(층), 박스</t>
    <phoneticPr fontId="1" type="noConversion"/>
  </si>
  <si>
    <t>1~8</t>
    <phoneticPr fontId="1" type="noConversion"/>
  </si>
  <si>
    <t>판촉 압력</t>
    <phoneticPr fontId="1" type="noConversion"/>
  </si>
  <si>
    <t>중간</t>
    <phoneticPr fontId="1" type="noConversion"/>
  </si>
  <si>
    <t>짧은</t>
    <phoneticPr fontId="1" type="noConversion"/>
  </si>
  <si>
    <t>비율/우선순위/FCFS</t>
    <phoneticPr fontId="1" type="noConversion"/>
  </si>
  <si>
    <t>3기업(인증/국가/여유캐파/운송수단)</t>
    <phoneticPr fontId="1" type="noConversion"/>
  </si>
  <si>
    <t xml:space="preserve">1~8 </t>
    <phoneticPr fontId="1" type="noConversion"/>
  </si>
  <si>
    <t>원자재에 따라 다름 (드럼/탱크/벌크/풀트럭/팔레트/팔레트(층))</t>
    <phoneticPr fontId="1" type="noConversion"/>
  </si>
  <si>
    <t>합의된 납품신뢰성(%)</t>
    <phoneticPr fontId="1" type="noConversion"/>
  </si>
  <si>
    <t>4시간, 1일, 2일, 1주</t>
    <phoneticPr fontId="1" type="noConversion"/>
  </si>
  <si>
    <t>0~8</t>
    <phoneticPr fontId="1" type="noConversion"/>
  </si>
  <si>
    <t>0~26</t>
    <phoneticPr fontId="1" type="noConversion"/>
  </si>
  <si>
    <t>1~6</t>
    <phoneticPr fontId="1" type="noConversion"/>
  </si>
  <si>
    <t>1~25 (5days=1week)</t>
    <phoneticPr fontId="1" type="noConversion"/>
  </si>
  <si>
    <t>범위</t>
    <phoneticPr fontId="1" type="noConversion"/>
  </si>
  <si>
    <t>원자재 품질향상</t>
    <phoneticPr fontId="1" type="noConversion"/>
  </si>
  <si>
    <t>창고 활용률(%)</t>
  </si>
  <si>
    <t>창고 활용률(%)</t>
    <phoneticPr fontId="1" type="noConversion"/>
  </si>
  <si>
    <t>창고 정규직 수</t>
    <phoneticPr fontId="1" type="noConversion"/>
  </si>
  <si>
    <t>고장시간</t>
    <phoneticPr fontId="1" type="noConversion"/>
  </si>
  <si>
    <t>Y: 1/10 저장,운송공간</t>
    <phoneticPr fontId="1" type="noConversion"/>
  </si>
  <si>
    <t>Y : 작업전환시간 단축
N : 작업전환시간 유지</t>
    <phoneticPr fontId="1" type="noConversion"/>
  </si>
  <si>
    <t>Y : 고장시간 단축
N : 고장시간 유지</t>
    <phoneticPr fontId="1" type="noConversion"/>
  </si>
  <si>
    <t>근무시간(40,80,120,144,168)</t>
    <phoneticPr fontId="1" type="noConversion"/>
  </si>
  <si>
    <t>Y : 시간당 생산률 10%증가</t>
    <phoneticPr fontId="1" type="noConversion"/>
  </si>
  <si>
    <t>Y : 물 사용량 30% 감소</t>
    <phoneticPr fontId="1" type="noConversion"/>
  </si>
  <si>
    <t>Y : 시운전 손실 50%감소</t>
    <phoneticPr fontId="1" type="noConversion"/>
  </si>
  <si>
    <t>Y : 에너지 소비량 40%감소</t>
    <phoneticPr fontId="1" type="noConversion"/>
  </si>
  <si>
    <t>계약 지수</t>
  </si>
  <si>
    <t>계약 지수</t>
    <phoneticPr fontId="1" type="noConversion"/>
  </si>
  <si>
    <t>창고 유통기한, 완제품 안전재고,
 생산간격</t>
    <phoneticPr fontId="1" type="noConversion"/>
  </si>
  <si>
    <t>원자재 재고수준</t>
    <phoneticPr fontId="1" type="noConversion"/>
  </si>
  <si>
    <t>완제품 재고수준</t>
    <phoneticPr fontId="1" type="noConversion"/>
  </si>
  <si>
    <t>Side Effect</t>
    <phoneticPr fontId="1" type="noConversion"/>
  </si>
  <si>
    <t>원자재 거절율, 라인 고장시간, 완제품 불량률</t>
  </si>
  <si>
    <r>
      <t xml:space="preserve">노동력 요구수준 </t>
    </r>
    <r>
      <rPr>
        <b/>
        <sz val="16"/>
        <color theme="1"/>
        <rFont val="맑은 고딕"/>
        <family val="3"/>
        <charset val="129"/>
        <scheme val="minor"/>
      </rPr>
      <t xml:space="preserve">∝ </t>
    </r>
    <r>
      <rPr>
        <b/>
        <sz val="11"/>
        <color theme="1"/>
        <rFont val="맑은 고딕"/>
        <family val="3"/>
        <charset val="129"/>
        <scheme val="minor"/>
      </rPr>
      <t>1/구매 리드타임</t>
    </r>
    <phoneticPr fontId="1" type="noConversion"/>
  </si>
  <si>
    <t>근무시간 = 가동시간 + 전환시간 + 고장시간 + 미사용 캐파 - 초과근무</t>
    <phoneticPr fontId="1" type="noConversion"/>
  </si>
  <si>
    <t>가동시간, 가동률…</t>
  </si>
  <si>
    <t>가동시간, 가동률…</t>
    <phoneticPr fontId="1" type="noConversion"/>
  </si>
  <si>
    <t>생산계획준수율(?), 서비스 수준, 재고 수준</t>
    <phoneticPr fontId="1" type="noConversion"/>
  </si>
  <si>
    <t>원자재 재고수준, 원자재 가용성</t>
    <phoneticPr fontId="1" type="noConversion"/>
  </si>
  <si>
    <t>완제품 재고수준, 서비스 수준</t>
    <phoneticPr fontId="1" type="noConversion"/>
  </si>
  <si>
    <t>계약된 매출액</t>
    <phoneticPr fontId="1" type="noConversion"/>
  </si>
  <si>
    <t>실제 서비스 수준에 따라 패널티 or 보너스</t>
    <phoneticPr fontId="1" type="noConversion"/>
  </si>
  <si>
    <t>완제품 안전재고(week) + 생산간격(week) ≤ 창고 유통기한</t>
    <phoneticPr fontId="1" type="noConversion"/>
  </si>
  <si>
    <t xml:space="preserve"> 완제품 창고 노동량</t>
  </si>
  <si>
    <t>완제품 창고 노동량</t>
  </si>
  <si>
    <t>탄소 발자국 감소</t>
    <phoneticPr fontId="1" type="noConversion"/>
  </si>
  <si>
    <t>수요의 변동성, 계약 지수</t>
    <phoneticPr fontId="1" type="noConversion"/>
  </si>
  <si>
    <t>생산 확정구간</t>
    <phoneticPr fontId="1" type="noConversion"/>
  </si>
  <si>
    <t>판촉 구간(week)</t>
    <phoneticPr fontId="1" type="noConversion"/>
  </si>
  <si>
    <t>지불조건(week)</t>
    <phoneticPr fontId="1" type="noConversion"/>
  </si>
  <si>
    <t>생산계획준수율(?)</t>
    <phoneticPr fontId="1" type="noConversion"/>
  </si>
  <si>
    <t>완제품 가용성, 서비스 수준</t>
    <phoneticPr fontId="1" type="noConversion"/>
  </si>
  <si>
    <t>(생산 확정구간) &gt; (판촉구간) -&gt; 판매촉진 대비 불가</t>
    <phoneticPr fontId="1" type="noConversion"/>
  </si>
  <si>
    <t>(생산 확정구간) &gt; (판촉구간) -&gt; 높은 안전재고 수준 요구</t>
    <phoneticPr fontId="1" type="noConversion"/>
  </si>
  <si>
    <t>완제품 창고 재고 수준</t>
    <phoneticPr fontId="1" type="noConversion"/>
  </si>
  <si>
    <t>1회 주문크기, (재고 유지, 주문, 창고) 비용</t>
    <phoneticPr fontId="1" type="noConversion"/>
  </si>
  <si>
    <t>원자재 거절율: 평균보다 약간 높음 (2.2%)
원자재비: 준수 (32.2%)
납품신뢰성: 준수 (95.8%)</t>
    <phoneticPr fontId="1" type="noConversion"/>
  </si>
  <si>
    <t>원자재 창고 공간 활용률(83.8%)</t>
  </si>
  <si>
    <t>생산계획준수율: 준수 (90.9%)</t>
  </si>
  <si>
    <t>X</t>
    <phoneticPr fontId="1" type="noConversion"/>
  </si>
  <si>
    <t>원자재 가용성: 준수함 (99.1%)
원자재 재고: 평균에 비해 높음 (4.1weeks)
완제품 재고: 평균에 비해 약간 높음 (2.8weeks)</t>
    <phoneticPr fontId="1" type="noConversion"/>
  </si>
  <si>
    <t>평균 서비스수준(라인품목): 준수 (95.9%)
제품 진부화: 매우 준수 (0.6%)
총 이익 좀 더 늘릴 수 있는 방안 강구해야함</t>
    <phoneticPr fontId="1" type="noConversion"/>
  </si>
  <si>
    <t>완제품 창고 공간 활용률(66.4%) 
→ 평균보다 낮은 편</t>
    <phoneticPr fontId="1" type="noConversion"/>
  </si>
  <si>
    <t>완제품 창고의 공간활용율이 낮음
→ 불필요한 재고비용 발생</t>
    <phoneticPr fontId="1" type="noConversion"/>
  </si>
  <si>
    <t>원자재 비용(구매금액), 원자재 거절율, 라인 고장시간, 완제품 불량률</t>
    <phoneticPr fontId="1" type="noConversion"/>
  </si>
  <si>
    <t>원자재 비용(구매금액), 이자</t>
    <phoneticPr fontId="1" type="noConversion"/>
  </si>
  <si>
    <t>원자재 가용성, 달성된 납품신뢰성(%)</t>
    <phoneticPr fontId="1" type="noConversion"/>
  </si>
  <si>
    <t>원자재 비용(구매금액), 원자재 가용성</t>
    <phoneticPr fontId="1" type="noConversion"/>
  </si>
  <si>
    <t>원자재 가용성, 원자재 비용(구매금액), 재고 수준</t>
    <phoneticPr fontId="1" type="noConversion"/>
  </si>
  <si>
    <t>완제품 재고수준, 고객확보 유통기한, 생산간격</t>
    <phoneticPr fontId="1" type="noConversion"/>
  </si>
  <si>
    <t>완제품 재고수준, 고객확보 유통기한, 생산간격, (용기주입 라인)</t>
    <phoneticPr fontId="1" type="noConversion"/>
  </si>
  <si>
    <t>관계식</t>
    <phoneticPr fontId="1" type="noConversion"/>
  </si>
  <si>
    <t>주당 진부화(금액) = (제품 판매단가-제품당 마진)*주당 진부화 개수</t>
    <phoneticPr fontId="1" type="noConversion"/>
  </si>
  <si>
    <t>지불조건 관련 투자비를 줄이기 위해서는 판매부문 지불조건을 짧게, 구매부문 지불조건은 길게 하는 것이 좋음. 그러나 그럴 경우 두 부서의 계약지수에는 안좋음</t>
    <phoneticPr fontId="1" type="noConversion"/>
  </si>
  <si>
    <t>교대근무 수를 증가시키면 생산캐파(생산능력)이 증가.</t>
    <phoneticPr fontId="1" type="noConversion"/>
  </si>
  <si>
    <t>생산량은 판매량에 연동됨. 안전재고를 줄이거나 판매량을 줄이면 생산량이 줄어들 수 있음.</t>
    <phoneticPr fontId="1" type="noConversion"/>
  </si>
  <si>
    <t>창고 재고수준이 이미 설정해둔 안전재고보다 떨어졌을 때, 설정해둔 주문크기를 토대로 공급업체에서 원자재를 들여옴 (매주 주문크기만큼 공급받는게 아니라)</t>
    <phoneticPr fontId="1" type="noConversion"/>
  </si>
  <si>
    <t>투자수익률(ROI) = (영업이익/투자비용)*100</t>
    <phoneticPr fontId="1" type="noConversion"/>
  </si>
  <si>
    <t>실현된 매출액 = 계약된 매출액 ± 보너스or벌금</t>
    <phoneticPr fontId="1" type="noConversion"/>
  </si>
  <si>
    <t>매출원가(COGS) = 직접자재비+생산비(노무비+일부 고정비)</t>
    <phoneticPr fontId="1" type="noConversion"/>
  </si>
  <si>
    <t>총 이익 = 실현된 매출액 - 매출원가</t>
    <phoneticPr fontId="1" type="noConversion"/>
  </si>
  <si>
    <t>판매관리비 = 간접비+재고유지비+자재취급비+관리비+물류비+프로젝트비용+대금지급조건 이자비</t>
  </si>
  <si>
    <t>영업이익 = 총이익 - 판매관리비</t>
    <phoneticPr fontId="1" type="noConversion"/>
  </si>
  <si>
    <t>투자비용 = ?</t>
    <phoneticPr fontId="1" type="noConversion"/>
  </si>
  <si>
    <t>재무 탭 수식 연결</t>
    <phoneticPr fontId="1" type="noConversion"/>
  </si>
  <si>
    <t>운송비는 거리,횟수,수단에 영향받음</t>
    <phoneticPr fontId="1" type="noConversion"/>
  </si>
  <si>
    <t>정직원이 부족하면 임시직을 사용하게 되며 비용이 더 발생함</t>
    <phoneticPr fontId="1" type="noConversion"/>
  </si>
  <si>
    <t>구매비용 = 구매수량*구매기준단가*구매계약지수 + 운송비, 보고서의 구매비는 한라운드 동안의 전체구매비를 의미</t>
    <phoneticPr fontId="1" type="noConversion"/>
  </si>
  <si>
    <t>생산확정구간 짧게 하면 가동준비시간 증가로 인해 비용 증가</t>
    <phoneticPr fontId="1" type="noConversion"/>
  </si>
  <si>
    <t>지불조건 변경은 구매계약지수, 이자비용, 투자에 영향을 줌</t>
    <phoneticPr fontId="1" type="noConversion"/>
  </si>
  <si>
    <t>SCM 로트크기 줄일수록 재고수준줄어듦</t>
    <phoneticPr fontId="1" type="noConversion"/>
  </si>
  <si>
    <t>생산간격 늘어나면 진부화에 영향, 짧아지면 SETUPTIME(가동준비시간)비용 증가</t>
    <phoneticPr fontId="1" type="noConversion"/>
  </si>
  <si>
    <t>① 유통기한 감소: 80/80/80 → 70/70/75
② 주문마감시간 변경 : 8/5/12 →8/8/2</t>
    <phoneticPr fontId="1" type="noConversion"/>
  </si>
  <si>
    <t>계약 대비 실제공 서비스수준의 차이가 클수록 우선순위 크게 배치</t>
  </si>
  <si>
    <t>③ 주문관리 결품규칙 수정: L - F&amp;G - D</t>
    <phoneticPr fontId="1" type="noConversion"/>
  </si>
  <si>
    <t>파레트위치수 900→850, 정직원수 5→3</t>
    <phoneticPr fontId="1" type="noConversion"/>
  </si>
  <si>
    <t>파레트위치수 1500→1400</t>
    <phoneticPr fontId="1" type="noConversion"/>
  </si>
  <si>
    <t>언급된 문제 상황</t>
    <phoneticPr fontId="1" type="noConversion"/>
  </si>
  <si>
    <t>현 회차 상황 (KPI)</t>
    <phoneticPr fontId="1" type="noConversion"/>
  </si>
  <si>
    <t>생산된 제품의 품질은 주로 구매된 펄프의 품질에 달려 있다</t>
    <phoneticPr fontId="1" type="noConversion"/>
  </si>
  <si>
    <t>이전회차 생산배치수는 생산간격에 영향을 받음</t>
    <phoneticPr fontId="1" type="noConversion"/>
  </si>
  <si>
    <t>4라운드에서 변경가능한 parameter
(3회차와 동일)</t>
    <phoneticPr fontId="1" type="noConversion"/>
  </si>
  <si>
    <t>&lt;회차별 재무 분석표&gt;</t>
    <phoneticPr fontId="1" type="noConversion"/>
  </si>
  <si>
    <t>SCM 시트 참고, PET 주문크기 +0.5</t>
    <phoneticPr fontId="1" type="noConversion"/>
  </si>
  <si>
    <t>① 교대근무를 제거
② 작업의 양을 늘리기</t>
    <phoneticPr fontId="1" type="noConversion"/>
  </si>
  <si>
    <t>용기주입 라인의 가동률이 낮음</t>
    <phoneticPr fontId="1" type="noConversion"/>
  </si>
  <si>
    <t>교대횟수 3→2회, 속도증대, 
SMED, 고장해결훈련</t>
    <phoneticPr fontId="1" type="noConversion"/>
  </si>
  <si>
    <t>투자를 줄이거나 영업이익을 높이거나</t>
    <phoneticPr fontId="1" type="noConversion"/>
  </si>
  <si>
    <t>영업이익을 높이려면 판매단가를 높여야함 (주당수요는 고정이므로) → 판매부서만 가능</t>
    <phoneticPr fontId="1" type="noConversion"/>
  </si>
  <si>
    <t>서비스수준(%), 유통기한(%), 거래단위
주문마감시간, 지불조건(weeks), 주문관리</t>
    <phoneticPr fontId="1" type="noConversion"/>
  </si>
  <si>
    <t>기대효과</t>
    <phoneticPr fontId="1" type="noConversion"/>
  </si>
  <si>
    <t>초과근무</t>
    <phoneticPr fontId="1" type="noConversion"/>
  </si>
  <si>
    <t>미사용 캐파</t>
    <phoneticPr fontId="1" type="noConversion"/>
  </si>
  <si>
    <t>전환시간</t>
    <phoneticPr fontId="1" type="noConversion"/>
  </si>
  <si>
    <t>가동시간</t>
    <phoneticPr fontId="1" type="noConversion"/>
  </si>
  <si>
    <t>근무 시간(80)</t>
    <phoneticPr fontId="1" type="noConversion"/>
  </si>
  <si>
    <t>근무 시간(120)</t>
    <phoneticPr fontId="1" type="noConversion"/>
  </si>
  <si>
    <t>2교대 근무</t>
    <phoneticPr fontId="1" type="noConversion"/>
  </si>
  <si>
    <t>3교대 근무</t>
    <phoneticPr fontId="1" type="noConversion"/>
  </si>
  <si>
    <t>완제품 생산 주기, 생산 배치</t>
    <phoneticPr fontId="1" type="noConversion"/>
  </si>
  <si>
    <t>완제품 안전재고(week) + 생산간격(week) ≤ 창고 유통기한
생산 배치 = 생산 간격/2</t>
    <phoneticPr fontId="1" type="noConversion"/>
  </si>
  <si>
    <t>원자재 거절율 감소,
용기주입 라인 고장시간 감소, 추가근무 감소, 완제품 불량률 감소</t>
    <phoneticPr fontId="1" type="noConversion"/>
  </si>
  <si>
    <t xml:space="preserve">Plantin 업체 품질 중간 → 높음
(계약지수가 0.02증가, 구매비용 314유로 증가),
</t>
    <phoneticPr fontId="1" type="noConversion"/>
  </si>
  <si>
    <t>① 유통기한 감소: 80/80/80 → 70/70/75
② 주문마감시간 변경 : 8/5/12 →8/8/2
③ 주문관리 결품규칙 수정: L - F&amp;G - D</t>
    <phoneticPr fontId="1" type="noConversion"/>
  </si>
  <si>
    <t>① 공급업체 변경: trio → plantin</t>
    <phoneticPr fontId="1" type="noConversion"/>
  </si>
  <si>
    <t>① 파레트위치수 900→850, 정직원수 5→3
② 교대횟수 2→3회, SMED
③ 고장예방검사(3h)
④ 파레트위치수 1500→1400</t>
    <phoneticPr fontId="1" type="noConversion"/>
  </si>
  <si>
    <t>① SCM 시트 참고, PET 주문크기 +0.5</t>
    <phoneticPr fontId="1" type="noConversion"/>
  </si>
  <si>
    <t>계약지수 저하로 인한 구매비용 절감</t>
    <phoneticPr fontId="1" type="noConversion"/>
  </si>
  <si>
    <t>프로젝트 비용 감소
(50,000 → 27,000)</t>
    <phoneticPr fontId="1" type="noConversion"/>
  </si>
  <si>
    <t>직원 고용비 감소(-2만)</t>
    <phoneticPr fontId="1" type="noConversion"/>
  </si>
  <si>
    <t>투자비용(분모)를 줄이는 것보다 이익(분자)를 늘리는게 ROI증가폭이 상대적으로 크므로, 
투자를 아끼지 않고 이익을 늘려보겠다</t>
    <phoneticPr fontId="1" type="noConversion"/>
  </si>
  <si>
    <t>입고처리시간은 리드타임에 영향</t>
    <phoneticPr fontId="1" type="noConversion"/>
  </si>
  <si>
    <r>
      <t xml:space="preserve">팔레트 위치 수 850 → 950
</t>
    </r>
    <r>
      <rPr>
        <b/>
        <sz val="11"/>
        <color theme="1"/>
        <rFont val="맑은 고딕"/>
        <family val="3"/>
        <charset val="129"/>
        <scheme val="minor"/>
      </rPr>
      <t>정직원 수 3 → 2명
입고처리시간 5 → 6 days</t>
    </r>
    <phoneticPr fontId="1" type="noConversion"/>
  </si>
  <si>
    <t>투자비용 = 고정(250만)+라인장비(802500)+재고+지불조건</t>
    <phoneticPr fontId="1" type="noConversion"/>
  </si>
  <si>
    <t>Miami Oranges 납품신뢰성 98% → 96%</t>
    <phoneticPr fontId="1" type="noConversion"/>
  </si>
  <si>
    <t>팔레트 위치 수 1400 → 1100
정직원 수 4 → 3</t>
    <phoneticPr fontId="1" type="noConversion"/>
  </si>
  <si>
    <t xml:space="preserve">안전재고 제품별로 -0.2씩 </t>
    <phoneticPr fontId="1" type="noConversion"/>
  </si>
  <si>
    <t>불필요한 재고비용 감소(-3만), 
직원 고용비 감소(-2만)</t>
    <phoneticPr fontId="1" type="noConversion"/>
  </si>
  <si>
    <t>유통기한, 서비스수준 유지 (F&amp;G만 95→94%)
주문관리: 고객우선순위 → 선착순</t>
    <phoneticPr fontId="1" type="noConversion"/>
  </si>
  <si>
    <t>5라운드에서 변경가능한 parameter</t>
    <phoneticPr fontId="1" type="noConversion"/>
  </si>
  <si>
    <t>1. 원자재비가 평균에 비해 0.3% 높음.
2. 공급업체의 납품신뢰성이 평균에 비해 1.5% 낮음.
3. 원자재 재고(금액)가 평균에 비해 24,134유로 높음.</t>
    <phoneticPr fontId="1" type="noConversion"/>
  </si>
  <si>
    <t>1. 작업변경 캐파손실이 0.2로 평균과 동일함.
2. 원자재 창고 초과율(%)이 평균에 비해 5.4% 낮음.
3. 생산비(%)가 평균과 유사함. (0.7% 낮음)</t>
    <phoneticPr fontId="1" type="noConversion"/>
  </si>
  <si>
    <t>팔레트 위치의 수 감소</t>
    <phoneticPr fontId="1" type="noConversion"/>
  </si>
  <si>
    <t>1. 원자재 가용성 증가
2. 용기주입라인에서의 초과근무 감소</t>
    <phoneticPr fontId="1" type="noConversion"/>
  </si>
  <si>
    <t>1. 고객확보유통기한이 평균에 비해 0.2% 낮게 제공
2. 고객당 즉시가용성(%)이 평균과 유사함.
3. 외상매출금 일수가 평균보다 2일 높음.</t>
    <phoneticPr fontId="1" type="noConversion"/>
  </si>
  <si>
    <t>1. 재고비(%)가 평균에 비해 1% 높음.
2. 경제적 원자재 재고(weeks)가 평균에 비해 2주 높음.
3. TEEP(총 효율적설비성능)이 평균에 비해 2.1% 낮음.</t>
    <phoneticPr fontId="1" type="noConversion"/>
  </si>
  <si>
    <t>넓음</t>
    <phoneticPr fontId="1" type="noConversion"/>
  </si>
  <si>
    <t>좁음</t>
    <phoneticPr fontId="1" type="noConversion"/>
  </si>
  <si>
    <t>최초 가동 생사성 손실</t>
    <phoneticPr fontId="1" type="noConversion"/>
  </si>
  <si>
    <t>허용 오차</t>
    <phoneticPr fontId="1" type="noConversion"/>
  </si>
  <si>
    <t>크기 작업변경 시간(시간)</t>
    <phoneticPr fontId="1" type="noConversion"/>
  </si>
  <si>
    <t>혼합공식 작업변경 시간(시간)</t>
    <phoneticPr fontId="1" type="noConversion"/>
  </si>
  <si>
    <t>투자</t>
    <phoneticPr fontId="1" type="noConversion"/>
  </si>
  <si>
    <t>연간 비용</t>
    <phoneticPr fontId="1" type="noConversion"/>
  </si>
  <si>
    <t>시간당 임시직 비용</t>
    <phoneticPr fontId="1" type="noConversion"/>
  </si>
  <si>
    <t>연간 운영자 비용</t>
    <phoneticPr fontId="1" type="noConversion"/>
  </si>
  <si>
    <t>작업자의 수</t>
    <phoneticPr fontId="1" type="noConversion"/>
  </si>
  <si>
    <t>용량(시간당 리터)</t>
    <phoneticPr fontId="1" type="noConversion"/>
  </si>
  <si>
    <t>용기주입 라인 유형</t>
    <phoneticPr fontId="1" type="noConversion"/>
  </si>
  <si>
    <t>혼합기가 생산할 수 있는 최소 리터 수 
(혼합기의 내용물이 기준 이하라면 주스는 적절히 섞이지 않을 것임) 
-&gt; 완제품의 주문크기에 영향을 줌</t>
    <phoneticPr fontId="1" type="noConversion"/>
  </si>
  <si>
    <t>기술적 배치 최소</t>
    <phoneticPr fontId="1" type="noConversion"/>
  </si>
  <si>
    <t>FMM 4000</t>
    <phoneticPr fontId="1" type="noConversion"/>
  </si>
  <si>
    <t>푸르트믹스 MQ</t>
    <phoneticPr fontId="1" type="noConversion"/>
  </si>
  <si>
    <t>메가천 20</t>
    <phoneticPr fontId="1" type="noConversion"/>
  </si>
  <si>
    <t>세척시간(시간)</t>
    <phoneticPr fontId="1" type="noConversion"/>
  </si>
  <si>
    <t>배치당 가동 시간(시간)</t>
    <phoneticPr fontId="1" type="noConversion"/>
  </si>
  <si>
    <t>시간당 혼합기 비용</t>
    <phoneticPr fontId="1" type="noConversion"/>
  </si>
  <si>
    <t>최대 로트의 크기(리터)</t>
    <phoneticPr fontId="1" type="noConversion"/>
  </si>
  <si>
    <t>기술적 배치 최소(리터)</t>
    <phoneticPr fontId="1" type="noConversion"/>
  </si>
  <si>
    <t>혼합기 타입</t>
    <phoneticPr fontId="1" type="noConversion"/>
  </si>
  <si>
    <t>주당수요</t>
    <phoneticPr fontId="29" type="noConversion"/>
  </si>
  <si>
    <t>각 공급업체에 대한 원자재 검사, 팔레트 위치 개수, 
정직원 수, 입고처리 시간 (days)</t>
    <phoneticPr fontId="1" type="noConversion"/>
  </si>
  <si>
    <t>지불조건(weeks, 1~8사이의 정수)
거래단위(팔레트, 팔레트 단, 풀트럭, 드럼, IBC, 탱크)
합의된 납품신뢰성(%, 0~100사이의 실수), 납품구간(4h, 1D, 2D, 1W)
품질(높음, 중간, 나쁨), 듀얼소싱 가능(40,000유로)</t>
    <phoneticPr fontId="1" type="noConversion"/>
  </si>
  <si>
    <t>x</t>
    <phoneticPr fontId="1" type="noConversion"/>
  </si>
  <si>
    <r>
      <t xml:space="preserve">① 팔레트 위치가 비어 있어 </t>
    </r>
    <r>
      <rPr>
        <b/>
        <sz val="11"/>
        <color theme="1"/>
        <rFont val="맑은 고딕"/>
        <family val="3"/>
        <charset val="129"/>
        <scheme val="minor"/>
      </rPr>
      <t>완제품 창고가 상대적으로 비어있음</t>
    </r>
    <r>
      <rPr>
        <sz val="11"/>
        <color theme="1"/>
        <rFont val="맑은 고딕"/>
        <family val="2"/>
        <charset val="129"/>
        <scheme val="minor"/>
      </rPr>
      <t xml:space="preserve">
 (불필요한 재고비용 발생)</t>
    </r>
    <phoneticPr fontId="1" type="noConversion"/>
  </si>
  <si>
    <t>1. 가동율 증가 → 용기주입라인을 좀 더 효과적으로 배치
2. 종합설비효율(OEE) 증가</t>
    <phoneticPr fontId="1" type="noConversion"/>
  </si>
  <si>
    <t>현 회차 상황 비교 (KPI)</t>
    <phoneticPr fontId="1" type="noConversion"/>
  </si>
  <si>
    <r>
      <t xml:space="preserve">② 스위스 필2 용기주입라인에 대한 </t>
    </r>
    <r>
      <rPr>
        <b/>
        <sz val="11"/>
        <color theme="1"/>
        <rFont val="맑은 고딕"/>
        <family val="3"/>
        <charset val="129"/>
        <scheme val="minor"/>
      </rPr>
      <t>생산계획 준수가 낮음</t>
    </r>
    <r>
      <rPr>
        <sz val="11"/>
        <color theme="1"/>
        <rFont val="맑은 고딕"/>
        <family val="2"/>
        <charset val="129"/>
        <scheme val="minor"/>
      </rPr>
      <t xml:space="preserve">
(완제품이 계획된 것 보다 늦게 생산되며 서비스 수준이 압박을 받음)</t>
    </r>
    <phoneticPr fontId="1" type="noConversion"/>
  </si>
  <si>
    <t>parameter 변경 사항</t>
    <phoneticPr fontId="1" type="noConversion"/>
  </si>
  <si>
    <t>실행 가능 Action: ①투자를 줄이거나 ②영업이익을 높이거나</t>
    <phoneticPr fontId="1" type="noConversion"/>
  </si>
  <si>
    <r>
      <t>1. 제품의 (제공) 서비스 수준을 높이기</t>
    </r>
    <r>
      <rPr>
        <sz val="11"/>
        <color theme="0" tint="-0.499984740745262"/>
        <rFont val="맑은 고딕"/>
        <family val="3"/>
        <charset val="129"/>
        <scheme val="minor"/>
      </rPr>
      <t xml:space="preserve">
2. 상점 가용성을 높이기 → ???</t>
    </r>
    <phoneticPr fontId="1" type="noConversion"/>
  </si>
  <si>
    <r>
      <t xml:space="preserve">고객사 </t>
    </r>
    <r>
      <rPr>
        <b/>
        <sz val="11"/>
        <color rgb="FF000000"/>
        <rFont val="맑은 고딕"/>
        <family val="3"/>
        <charset val="129"/>
        <scheme val="major"/>
      </rPr>
      <t>LAND Market</t>
    </r>
    <r>
      <rPr>
        <sz val="11"/>
        <color rgb="FF000000"/>
        <rFont val="맑은 고딕"/>
        <family val="3"/>
        <charset val="129"/>
        <scheme val="major"/>
      </rPr>
      <t xml:space="preserve">이 </t>
    </r>
    <r>
      <rPr>
        <b/>
        <sz val="11"/>
        <color rgb="FF000000"/>
        <rFont val="맑은 고딕"/>
        <family val="3"/>
        <charset val="129"/>
        <scheme val="major"/>
      </rPr>
      <t>낮은 수준의 즉시 가용성</t>
    </r>
    <r>
      <rPr>
        <sz val="11"/>
        <color rgb="FF000000"/>
        <rFont val="맑은 고딕"/>
        <family val="3"/>
        <charset val="129"/>
        <scheme val="major"/>
      </rPr>
      <t>을 보유하고 있음
(소비자가 당사의 제품을 매대에서 못찾고 다른 브랜드를 살 가능성)</t>
    </r>
    <phoneticPr fontId="1" type="noConversion"/>
  </si>
  <si>
    <r>
      <t xml:space="preserve">용기주입라인 스위스 필2의 </t>
    </r>
    <r>
      <rPr>
        <b/>
        <sz val="11"/>
        <rFont val="맑은 고딕"/>
        <family val="3"/>
        <charset val="129"/>
        <scheme val="minor"/>
      </rPr>
      <t>TEEP(총 효율적설비성능)이 조금 낮음</t>
    </r>
    <r>
      <rPr>
        <sz val="11"/>
        <rFont val="맑은 고딕"/>
        <family val="3"/>
        <charset val="129"/>
        <scheme val="minor"/>
      </rPr>
      <t xml:space="preserve">
(자원이 많이 사용되지 않는다는 것을 의미)</t>
    </r>
    <phoneticPr fontId="1" type="noConversion"/>
  </si>
  <si>
    <t>팩</t>
    <phoneticPr fontId="29" type="noConversion"/>
  </si>
  <si>
    <t>PET</t>
    <phoneticPr fontId="29" type="noConversion"/>
  </si>
  <si>
    <t>오렌지</t>
    <phoneticPr fontId="29" type="noConversion"/>
  </si>
  <si>
    <t>망고</t>
    <phoneticPr fontId="29" type="noConversion"/>
  </si>
  <si>
    <t>비타민C</t>
    <phoneticPr fontId="29" type="noConversion"/>
  </si>
  <si>
    <t>D : 6개월간 수요</t>
    <phoneticPr fontId="29" type="noConversion"/>
  </si>
  <si>
    <t>S : 주문비용</t>
    <phoneticPr fontId="29" type="noConversion"/>
  </si>
  <si>
    <t>H1 : 6개월간 창고비용</t>
    <phoneticPr fontId="29" type="noConversion"/>
  </si>
  <si>
    <t>H2 : 6개월간 이자비용</t>
    <phoneticPr fontId="29" type="noConversion"/>
  </si>
  <si>
    <t>최적 주문량(EOQ)</t>
    <phoneticPr fontId="29" type="noConversion"/>
  </si>
  <si>
    <t>1주당 평균수요</t>
    <phoneticPr fontId="29" type="noConversion"/>
  </si>
  <si>
    <t>주당 환산 최적 주문량</t>
    <phoneticPr fontId="29" type="noConversion"/>
  </si>
  <si>
    <t>EOQ(4주차 수요 기준)</t>
  </si>
  <si>
    <t>Total</t>
    <phoneticPr fontId="29" type="noConversion"/>
  </si>
  <si>
    <t>개수 환산</t>
    <phoneticPr fontId="29" type="noConversion"/>
  </si>
  <si>
    <t>팔레트 환산</t>
    <phoneticPr fontId="29" type="noConversion"/>
  </si>
  <si>
    <t>D=주당수요 * 26</t>
    <phoneticPr fontId="1" type="noConversion"/>
  </si>
  <si>
    <t>S = 선적당 비용 + 관리비</t>
    <phoneticPr fontId="1" type="noConversion"/>
  </si>
  <si>
    <t>H1 : 라운드 당 팔레트 1개 위치 비용/팔레트 당 원자재 개수</t>
    <phoneticPr fontId="1" type="noConversion"/>
  </si>
  <si>
    <t>H2 : 연간 이자율/2*구매단가</t>
    <phoneticPr fontId="1" type="noConversion"/>
  </si>
  <si>
    <t>원자재창고 팔레트 위치</t>
    <phoneticPr fontId="1" type="noConversion"/>
  </si>
  <si>
    <t>이득</t>
    <phoneticPr fontId="1" type="noConversion"/>
  </si>
  <si>
    <t>팩</t>
    <phoneticPr fontId="1" type="noConversion"/>
  </si>
  <si>
    <t>페트</t>
    <phoneticPr fontId="1" type="noConversion"/>
  </si>
  <si>
    <t>오렌지</t>
    <phoneticPr fontId="1" type="noConversion"/>
  </si>
  <si>
    <t>망고</t>
    <phoneticPr fontId="1" type="noConversion"/>
  </si>
  <si>
    <t>비타민</t>
    <phoneticPr fontId="1" type="noConversion"/>
  </si>
  <si>
    <t>거래단위</t>
    <phoneticPr fontId="1" type="noConversion"/>
  </si>
  <si>
    <t>단위당 개수</t>
    <phoneticPr fontId="1" type="noConversion"/>
  </si>
  <si>
    <t>구매량</t>
    <phoneticPr fontId="1" type="noConversion"/>
  </si>
  <si>
    <t>라운드 당 운송횟수</t>
    <phoneticPr fontId="1" type="noConversion"/>
  </si>
  <si>
    <t>주문크기</t>
    <phoneticPr fontId="1" type="noConversion"/>
  </si>
  <si>
    <t>팔레트</t>
    <phoneticPr fontId="1" type="noConversion"/>
  </si>
  <si>
    <t>FTL</t>
    <phoneticPr fontId="1" type="noConversion"/>
  </si>
  <si>
    <t>팔레트 층</t>
    <phoneticPr fontId="1" type="noConversion"/>
  </si>
  <si>
    <t xml:space="preserve">드럼 </t>
    <phoneticPr fontId="1" type="noConversion"/>
  </si>
  <si>
    <t>IBC</t>
    <phoneticPr fontId="1" type="noConversion"/>
  </si>
  <si>
    <t>TANK</t>
    <phoneticPr fontId="1" type="noConversion"/>
  </si>
  <si>
    <t>단위 환산 주문크기</t>
    <phoneticPr fontId="1" type="noConversion"/>
  </si>
  <si>
    <t>유지</t>
    <phoneticPr fontId="1" type="noConversion"/>
  </si>
  <si>
    <t>변경필요</t>
    <phoneticPr fontId="1" type="noConversion"/>
  </si>
  <si>
    <t>기존 설정값(고정)</t>
    <phoneticPr fontId="1" type="noConversion"/>
  </si>
  <si>
    <t>계약지수</t>
    <phoneticPr fontId="1" type="noConversion"/>
  </si>
  <si>
    <t>서비스수준</t>
    <phoneticPr fontId="1" type="noConversion"/>
  </si>
  <si>
    <t>유통기한</t>
    <phoneticPr fontId="1" type="noConversion"/>
  </si>
  <si>
    <t>주문마감시간</t>
    <phoneticPr fontId="1" type="noConversion"/>
  </si>
  <si>
    <t>거래단위</t>
    <phoneticPr fontId="1" type="noConversion"/>
  </si>
  <si>
    <t>지불조건(week)</t>
    <phoneticPr fontId="1" type="noConversion"/>
  </si>
  <si>
    <t>판촉압력</t>
    <phoneticPr fontId="1" type="noConversion"/>
  </si>
  <si>
    <t>판촉행사 사전예고</t>
    <phoneticPr fontId="1" type="noConversion"/>
  </si>
  <si>
    <t>Round</t>
    <phoneticPr fontId="1" type="noConversion"/>
  </si>
  <si>
    <t>8pm</t>
    <phoneticPr fontId="1" type="noConversion"/>
  </si>
  <si>
    <t>파레트층(단)</t>
    <phoneticPr fontId="1" type="noConversion"/>
  </si>
  <si>
    <t>4주</t>
    <phoneticPr fontId="1" type="noConversion"/>
  </si>
  <si>
    <t>중간</t>
    <phoneticPr fontId="1" type="noConversion"/>
  </si>
  <si>
    <t>짧은</t>
    <phoneticPr fontId="1" type="noConversion"/>
  </si>
  <si>
    <t>협상 조건</t>
    <phoneticPr fontId="1" type="noConversion"/>
  </si>
  <si>
    <t>LAND Market (할인점, 300점포)</t>
    <phoneticPr fontId="1" type="noConversion"/>
  </si>
  <si>
    <t>변경이유/기대효과</t>
    <phoneticPr fontId="1" type="noConversion"/>
  </si>
  <si>
    <t>서비스수준(%), 유통기한(%), 거래단위, 주문마감시간, 지불조건(weeks), 
판촉구간(x,약함,중간,강함), 제품별 수요 예측,</t>
    <phoneticPr fontId="1" type="noConversion"/>
  </si>
  <si>
    <t>협상</t>
    <phoneticPr fontId="1" type="noConversion"/>
  </si>
  <si>
    <t>관리</t>
    <phoneticPr fontId="1" type="noConversion"/>
  </si>
  <si>
    <t>주문관리 - 결품규칙: 고객 우선순위 (F&gt;D&gt;L)</t>
    <phoneticPr fontId="1" type="noConversion"/>
  </si>
  <si>
    <t>거절율 감소, 원자재 가용성 상승</t>
  </si>
  <si>
    <r>
      <rPr>
        <b/>
        <sz val="11"/>
        <color theme="1"/>
        <rFont val="맑은 고딕"/>
        <family val="3"/>
        <charset val="129"/>
        <scheme val="minor"/>
      </rPr>
      <t>② Oranges 공급업체 협상 조건 일부 수정</t>
    </r>
    <r>
      <rPr>
        <sz val="11"/>
        <color theme="1"/>
        <rFont val="맑은 고딕"/>
        <family val="2"/>
        <charset val="129"/>
        <scheme val="minor"/>
      </rPr>
      <t xml:space="preserve">
납품신뢰성 96% → 98%, 품질 중간→높음</t>
    </r>
    <phoneticPr fontId="1" type="noConversion"/>
  </si>
  <si>
    <t>사용가능 혼합기(푸르트믹스 MQ, 메가천 20, FMM 4000), 
(각 혼합기 별로 할당 가능)</t>
    <phoneticPr fontId="1" type="noConversion"/>
  </si>
  <si>
    <t xml:space="preserve">주문관리(재고 부족 시 결품 규칙), 
카테고리관리(고객사별로 판매할 제품 선택) </t>
    <phoneticPr fontId="1" type="noConversion"/>
  </si>
  <si>
    <t>예방정비(없음, 적음, 많음), 고장해결 훈련(y/n), 교대근무 횟수(1~5), 준비교체 시간단축 행동조치(y/n), 속도증대(y/n), 
용기주입라인 (탑 스피드1, 스위스 필1, 스위스 필2, 멀티플렉스1) - SMED, 교대근무, 속도증대 각각 다르게 설정 가능, 용기주입 라인에 제품을 할당(각 용기주입 라인 별로 할당 가능)</t>
    <phoneticPr fontId="1" type="noConversion"/>
  </si>
  <si>
    <t>Dominick's (주유소 체인 유통업체, 50점포)</t>
    <phoneticPr fontId="1" type="noConversion"/>
  </si>
  <si>
    <t>판매촉진 캠페인, 높은 서비스수준에 대한 투자를 기대</t>
  </si>
  <si>
    <t xml:space="preserve">F&amp;G (공급사슬리더, 500점포) </t>
    <phoneticPr fontId="1" type="noConversion"/>
  </si>
  <si>
    <t>많은 선택 가능성과 공급신뢰성</t>
  </si>
  <si>
    <t>작은팩 구입하는걸 선호</t>
  </si>
  <si>
    <t>2pm</t>
    <phoneticPr fontId="1" type="noConversion"/>
  </si>
  <si>
    <t>팔레트</t>
    <phoneticPr fontId="1" type="noConversion"/>
  </si>
  <si>
    <t>스위스 필1,2</t>
    <phoneticPr fontId="1" type="noConversion"/>
  </si>
  <si>
    <t>탑 스피드1</t>
    <phoneticPr fontId="1" type="noConversion"/>
  </si>
  <si>
    <t>멀티 플렉스1</t>
    <phoneticPr fontId="1" type="noConversion"/>
  </si>
  <si>
    <t>리드타임 감소로 인한 생산성 향상
(전체적으로 품질높음, 인증, 짧은 리드타임으로 맞춤)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</si>
  <si>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① 납품업체 변경 </t>
    </r>
    <r>
      <rPr>
        <sz val="11"/>
        <color theme="1"/>
        <rFont val="맑은 고딕"/>
        <family val="2"/>
        <charset val="129"/>
        <scheme val="minor"/>
      </rPr>
      <t xml:space="preserve">
1리터팩  : Mono &gt; Brit (선적당 비용 동일)
PET       : Plantin &gt; Phylip (선적당 비용 125 &gt; 100)
Oranges : Miami &gt; Medina (선적당 비용 동일)
Vitamins : Seitan &gt; AIL (선적당 비용 동일)</t>
    </r>
    <phoneticPr fontId="1" type="noConversion"/>
  </si>
  <si>
    <r>
      <t xml:space="preserve">③ 거래단위 변경
</t>
    </r>
    <r>
      <rPr>
        <sz val="11"/>
        <color theme="1"/>
        <rFont val="맑은 고딕"/>
        <family val="3"/>
        <charset val="129"/>
        <scheme val="minor"/>
      </rPr>
      <t>(Phylip) PET : 팔레트 → FTL
Vitamins : 드럼 → IBC</t>
    </r>
    <phoneticPr fontId="1" type="noConversion"/>
  </si>
  <si>
    <t>PET: 2,580유로 비용절감 기대
비타민: 72유로 비용절감 기대</t>
    <phoneticPr fontId="1" type="noConversion"/>
  </si>
  <si>
    <t>수요가 가장 많은 F사에 대한 거래단위 비효율성</t>
    <phoneticPr fontId="1" type="noConversion"/>
  </si>
  <si>
    <t>→ 혼합물의 내용 변경</t>
    <phoneticPr fontId="1" type="noConversion"/>
  </si>
  <si>
    <t>→ 포장재 변경</t>
    <phoneticPr fontId="1" type="noConversion"/>
  </si>
  <si>
    <t>① 스위스필 + 멀티플렉스</t>
    <phoneticPr fontId="1" type="noConversion"/>
  </si>
  <si>
    <t>② 스위스필 2대</t>
    <phoneticPr fontId="1" type="noConversion"/>
  </si>
  <si>
    <t>라인 추가 후보</t>
    <phoneticPr fontId="1" type="noConversion"/>
  </si>
  <si>
    <t>스위스필</t>
    <phoneticPr fontId="1" type="noConversion"/>
  </si>
  <si>
    <t>탑스피드</t>
    <phoneticPr fontId="1" type="noConversion"/>
  </si>
  <si>
    <t>멀티플렉스</t>
    <phoneticPr fontId="1" type="noConversion"/>
  </si>
  <si>
    <t>생산량(L)</t>
    <phoneticPr fontId="1" type="noConversion"/>
  </si>
  <si>
    <t>주문크기(w)</t>
    <phoneticPr fontId="29" type="noConversion"/>
  </si>
  <si>
    <t>안전재고(w)</t>
    <phoneticPr fontId="29" type="noConversion"/>
  </si>
  <si>
    <t>평균재고(w)</t>
    <phoneticPr fontId="29" type="noConversion"/>
  </si>
  <si>
    <t>탱크</t>
    <phoneticPr fontId="1" type="noConversion"/>
  </si>
  <si>
    <t>적재량</t>
    <phoneticPr fontId="1" type="noConversion"/>
  </si>
  <si>
    <t>고객사별 수요량(매출액) 많은 순으로 배치함</t>
    <phoneticPr fontId="1" type="noConversion"/>
  </si>
  <si>
    <t>원자재확보에는 돈을 아끼지 않기로 결정, 품질도 다 높음으로 했음</t>
    <phoneticPr fontId="1" type="noConversion"/>
  </si>
  <si>
    <t>혼합기의 기술적 최소량을 유지하는 것이 현명함, 이것은 각각의 배치에 혼합되는 리터의 수이다. 
만약 로트크기가 큰 혼합기에서 회전율이 느린 제품을 할당한다면, 각각의 배치(1회)에서 너무 많은 리터를 생산할 것임. =필요한것보다 더 많이 생산한다? = 진부화를 야기한다.
→ 이는 제품의 유통기한 문제를 초래할 것이다. 
- 원자재와 완제품의 수요에 맞게 할당하는 것이 중요.-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</si>
  <si>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① 주문크기 변경</t>
    </r>
    <r>
      <rPr>
        <sz val="12"/>
        <color theme="1"/>
        <rFont val="맑은 고딕"/>
        <family val="2"/>
        <charset val="129"/>
        <scheme val="minor"/>
      </rPr>
      <t xml:space="preserve">
팩 2.8, PET 0.7, 오렌지 2.9, 망고 3.9, 비타민 17.7</t>
    </r>
    <phoneticPr fontId="1" type="noConversion"/>
  </si>
  <si>
    <t>팔레트 1100 → 900, 정직원 수 3 → 4명</t>
    <phoneticPr fontId="1" type="noConversion"/>
  </si>
  <si>
    <t>-</t>
    <phoneticPr fontId="1" type="noConversion"/>
  </si>
  <si>
    <t>팔레트 950 → 480, 정직원 수 2 → 4명</t>
    <phoneticPr fontId="1" type="noConversion"/>
  </si>
  <si>
    <t xml:space="preserve">2만 유로 절약, </t>
    <phoneticPr fontId="1" type="noConversion"/>
  </si>
  <si>
    <t>4만 유로 절약,</t>
    <phoneticPr fontId="1" type="noConversion"/>
  </si>
  <si>
    <t>유지  | 스위스필2, 2교대, SMED, 고장해결훈련, 속도증대
추가  | 예방정비(1h)</t>
    <phoneticPr fontId="1" type="noConversion"/>
  </si>
  <si>
    <t>다음회차 결과보고, 원자재검사 실시할지 말지 결정할거임!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</si>
  <si>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① F사 | </t>
    </r>
    <r>
      <rPr>
        <sz val="11"/>
        <color theme="1"/>
        <rFont val="맑은 고딕"/>
        <family val="2"/>
        <charset val="129"/>
        <scheme val="minor"/>
      </rPr>
      <t xml:space="preserve">거래단위 : 팔레트(층) → 팔레트, 서비스수준 94→95%
② </t>
    </r>
    <r>
      <rPr>
        <b/>
        <sz val="11"/>
        <color theme="1"/>
        <rFont val="맑은 고딕"/>
        <family val="3"/>
        <charset val="129"/>
        <scheme val="minor"/>
      </rPr>
      <t xml:space="preserve">고객확보 유통기한 변경 | </t>
    </r>
    <r>
      <rPr>
        <sz val="11"/>
        <color theme="1"/>
        <rFont val="맑은 고딕"/>
        <family val="2"/>
        <charset val="129"/>
        <scheme val="minor"/>
      </rPr>
      <t>F, L사 70% → 75%
③ 주문마감시간: F사 5pm, L사 2pm</t>
    </r>
    <phoneticPr fontId="1" type="noConversion"/>
  </si>
  <si>
    <t>주문관리: 고객우선순위 → 선착순</t>
  </si>
  <si>
    <t>해당 제품들의 안전재고(3주→2주),
생산간격(10→5d) 수정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</si>
  <si>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① 납품업체 변경 </t>
    </r>
    <r>
      <rPr>
        <sz val="11"/>
        <color theme="1"/>
        <rFont val="맑은 고딕"/>
        <family val="2"/>
        <charset val="129"/>
        <scheme val="minor"/>
      </rPr>
      <t xml:space="preserve">
1리터팩  : Mono &gt; Brit (선적당 비용 동일)
PET       : Plantin &gt; Phylip (선적당 비용 125 &gt; 100)
Oranges : Miami &gt; Medina (선적당 비용 동일)
Vitamins : Seitan &gt; AIL (선적당 비용 동일)
</t>
    </r>
    <r>
      <rPr>
        <b/>
        <sz val="11"/>
        <color theme="1"/>
        <rFont val="맑은 고딕"/>
        <family val="3"/>
        <charset val="129"/>
        <scheme val="minor"/>
      </rPr>
      <t>② Oranges 공급업체 협상 조건 일부 수정</t>
    </r>
    <r>
      <rPr>
        <sz val="11"/>
        <color theme="1"/>
        <rFont val="맑은 고딕"/>
        <family val="2"/>
        <charset val="129"/>
        <scheme val="minor"/>
      </rPr>
      <t xml:space="preserve">
납품신뢰성 96% → 98%, 품질 중간→높음
</t>
    </r>
    <r>
      <rPr>
        <b/>
        <sz val="11"/>
        <color theme="1"/>
        <rFont val="맑은 고딕"/>
        <family val="3"/>
        <charset val="129"/>
        <scheme val="minor"/>
      </rPr>
      <t>③ 거래단위 변경</t>
    </r>
    <r>
      <rPr>
        <sz val="11"/>
        <color theme="1"/>
        <rFont val="맑은 고딕"/>
        <family val="2"/>
        <charset val="129"/>
        <scheme val="minor"/>
      </rPr>
      <t xml:space="preserve">
(Phylip) PET : 팔레트 → FTL, Vitamins : 드럼 → IBC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</si>
  <si>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주문크기 변경</t>
    </r>
    <r>
      <rPr>
        <sz val="11"/>
        <color theme="1"/>
        <rFont val="맑은 고딕"/>
        <family val="2"/>
        <charset val="129"/>
        <scheme val="minor"/>
      </rPr>
      <t xml:space="preserve">
팩 2.8, PET 0.7, 오렌지 2.9, 망고 3.9, 비타민 17.7
--------더 있는데 안적어놓음 ---------</t>
    </r>
    <phoneticPr fontId="1" type="noConversion"/>
  </si>
  <si>
    <t>원자재 창고의 공간 활용률 높음</t>
    <phoneticPr fontId="1" type="noConversion"/>
  </si>
  <si>
    <t>원자재 창고 초과율 높음
(정기적으로 초과창고가 사용됨)</t>
    <phoneticPr fontId="1" type="noConversion"/>
  </si>
  <si>
    <t>특정 원자재(비타민C)의 보유 재고수준이 높음</t>
    <phoneticPr fontId="1" type="noConversion"/>
  </si>
  <si>
    <t>초과창고 비용이 기업창고비용보다 높고, 파레트가 초과 창고 안팎으로 이동됨에 따라 많은 노동 캐파가 손실되므로
→ 파레트 위치를 좀 더 추가하거나 원자재 창고의 재고를 줄일 것</t>
    <phoneticPr fontId="1" type="noConversion"/>
  </si>
  <si>
    <t>더 많은 파레트 위치를 도입하거나 원자재 창고에서 재고를 감축.</t>
    <phoneticPr fontId="1" type="noConversion"/>
  </si>
  <si>
    <t>이는 높은 재고비용, 폐기 등을 초래하므로
→ 안전재고를 줄이거나 재고 주문을 적은 크기의 배치로 할 것</t>
    <phoneticPr fontId="1" type="noConversion"/>
  </si>
  <si>
    <t>스위스필1의 총 효율적설비성능(TEEP)이 조금 낮은 편임
(자원이 많이 사용되지 않음)</t>
    <phoneticPr fontId="1" type="noConversion"/>
  </si>
  <si>
    <t>가동율 증가를 통해 용기주입 라인을 좀더 효과적으로 배치하거나 종합설비효율(OEE)를 증가시킬 것</t>
    <phoneticPr fontId="1" type="noConversion"/>
  </si>
  <si>
    <t>6라운드에서 변경가능한 parameter</t>
    <phoneticPr fontId="1" type="noConversion"/>
  </si>
  <si>
    <t>1.운송비용</t>
    <phoneticPr fontId="1" type="noConversion"/>
  </si>
  <si>
    <t>선적비용 : 주문횟수당</t>
    <phoneticPr fontId="1" type="noConversion"/>
  </si>
  <si>
    <t>팔레트 비용</t>
    <phoneticPr fontId="1" type="noConversion"/>
  </si>
  <si>
    <t>부풀리기 시행 전</t>
    <phoneticPr fontId="1" type="noConversion"/>
  </si>
  <si>
    <t>부풀리기 시행 후</t>
    <phoneticPr fontId="1" type="noConversion"/>
  </si>
  <si>
    <t>구매량</t>
    <phoneticPr fontId="1" type="noConversion"/>
  </si>
  <si>
    <t>주문크기</t>
    <phoneticPr fontId="1" type="noConversion"/>
  </si>
  <si>
    <t>FTL 비용</t>
    <phoneticPr fontId="1" type="noConversion"/>
  </si>
  <si>
    <t>주문횟수</t>
    <phoneticPr fontId="1" type="noConversion"/>
  </si>
  <si>
    <t>*부풀리기 시행할 경우 주문크기가 324,000에 들어온다는 가정</t>
    <phoneticPr fontId="1" type="noConversion"/>
  </si>
  <si>
    <t>(=구매량/주문크기)</t>
    <phoneticPr fontId="1" type="noConversion"/>
  </si>
  <si>
    <t>부풀리기 전</t>
    <phoneticPr fontId="1" type="noConversion"/>
  </si>
  <si>
    <t>부풀리기 후</t>
    <phoneticPr fontId="1" type="noConversion"/>
  </si>
  <si>
    <t>FTL 당 페트 개수</t>
    <phoneticPr fontId="1" type="noConversion"/>
  </si>
  <si>
    <t>한번 주문할때마다 들어오는 FTL 개수</t>
    <phoneticPr fontId="1" type="noConversion"/>
  </si>
  <si>
    <t>운송비용(주문횟수 * FTL개수 * FTL 당 비용)</t>
    <phoneticPr fontId="1" type="noConversion"/>
  </si>
  <si>
    <t>만큼의 이익 예상</t>
    <phoneticPr fontId="1" type="noConversion"/>
  </si>
  <si>
    <t>2. 창고비용</t>
    <phoneticPr fontId="1" type="noConversion"/>
  </si>
  <si>
    <t>페트병 부풀리기 전</t>
    <phoneticPr fontId="1" type="noConversion"/>
  </si>
  <si>
    <t>페트병 부풀리기 후</t>
    <phoneticPr fontId="1" type="noConversion"/>
  </si>
  <si>
    <t>팔레트 수</t>
    <phoneticPr fontId="1" type="noConversion"/>
  </si>
  <si>
    <t>3. 자재비용</t>
    <phoneticPr fontId="1" type="noConversion"/>
  </si>
  <si>
    <t>구매 금액</t>
    <phoneticPr fontId="1" type="noConversion"/>
  </si>
  <si>
    <t>1) 재고유지비, 운송비 -&gt; 1/10로 감소</t>
    <phoneticPr fontId="1" type="noConversion"/>
  </si>
  <si>
    <t>2) 구매비용 -&gt; 1/2로 감소</t>
    <phoneticPr fontId="1" type="noConversion"/>
  </si>
  <si>
    <t>3) 프로젝트 비용 70,000유로, 프로젝트 투자비 700,000유로 증가</t>
    <phoneticPr fontId="1" type="noConversion"/>
  </si>
  <si>
    <t>4) ROI : 4.78% -&gt; 7.18%로 증가 가능!!!</t>
    <phoneticPr fontId="1" type="noConversion"/>
  </si>
  <si>
    <t>5pm</t>
    <phoneticPr fontId="1" type="noConversion"/>
  </si>
  <si>
    <t>2주</t>
    <phoneticPr fontId="1" type="noConversion"/>
  </si>
  <si>
    <t>VMI</t>
    <phoneticPr fontId="1" type="noConversion"/>
  </si>
  <si>
    <r>
      <t xml:space="preserve">F사     : VMI 실시
L, D사  : 지불조건 4 → 2주, 주문마감시간 2pm→5pm </t>
    </r>
    <r>
      <rPr>
        <b/>
        <sz val="11"/>
        <color rgb="FFC00000"/>
        <rFont val="맑은 고딕"/>
        <family val="3"/>
        <charset val="129"/>
        <scheme val="minor"/>
      </rPr>
      <t>고민중</t>
    </r>
    <r>
      <rPr>
        <sz val="11"/>
        <color theme="1"/>
        <rFont val="맑은 고딕"/>
        <family val="3"/>
        <charset val="129"/>
        <scheme val="minor"/>
      </rPr>
      <t xml:space="preserve">
서비스수준 : F,D사 +0.5%, L사 +1.0%</t>
    </r>
    <phoneticPr fontId="1" type="noConversion"/>
  </si>
  <si>
    <t>[5회차] 원자재별 거래단위 변경 근거 자료</t>
    <phoneticPr fontId="1" type="noConversion"/>
  </si>
  <si>
    <t>[6회차] PET병 부풀리기 도입 결정 근거 자료</t>
    <phoneticPr fontId="1" type="noConversion"/>
  </si>
  <si>
    <t>비타민C의 안전재고 줄이기 (생산간격은 냅두고)</t>
    <phoneticPr fontId="1" type="noConversion"/>
  </si>
  <si>
    <r>
      <t xml:space="preserve">지불조건(weeks, 1~8사이의 정수)
거래단위(팔레트, 팔레트 단, 풀트럭, 드럼, IBC, 탱크)
합의된 납품신뢰성(%, 0~100사이의 실수), 납품구간(4h, 1D, 2D, 1W)
품질(높음, 중간, 나쁨), 듀얼소싱 가능(40,000유로)
</t>
    </r>
    <r>
      <rPr>
        <b/>
        <sz val="11"/>
        <color rgb="FF7030A0"/>
        <rFont val="맑은 고딕"/>
        <family val="3"/>
        <charset val="129"/>
        <scheme val="minor"/>
      </rPr>
      <t>공급업체 개발(60,000유로), 공급업체 VMI(5,000유로)</t>
    </r>
    <phoneticPr fontId="1" type="noConversion"/>
  </si>
  <si>
    <r>
      <t xml:space="preserve">서비스수준(%), 유통기한(%), 거래단위, 주문마감시간, 
지불조건(weeks), 판촉구간(x,약함,중간,강함), </t>
    </r>
    <r>
      <rPr>
        <b/>
        <sz val="11"/>
        <color rgb="FF7030A0"/>
        <rFont val="맑은 고딕"/>
        <family val="3"/>
        <charset val="129"/>
        <scheme val="minor"/>
      </rPr>
      <t>판촉사전예고기간</t>
    </r>
    <r>
      <rPr>
        <sz val="11"/>
        <rFont val="맑은 고딕"/>
        <family val="3"/>
        <charset val="129"/>
        <scheme val="minor"/>
      </rPr>
      <t xml:space="preserve">
제품별 수요 예측</t>
    </r>
    <phoneticPr fontId="1" type="noConversion"/>
  </si>
  <si>
    <r>
      <t>예방정비(없음, 적음, 많음), 고장해결 훈련(y/n), 교대근무 횟수(1~5)
준비교체 시간단축 행동조치(y/n), 속도증대(y/n), 
용기주입라인,</t>
    </r>
    <r>
      <rPr>
        <b/>
        <sz val="11"/>
        <color rgb="FF7030A0"/>
        <rFont val="맑은 고딕"/>
        <family val="3"/>
        <charset val="129"/>
        <scheme val="minor"/>
      </rPr>
      <t>PET병 부풀리기</t>
    </r>
    <phoneticPr fontId="1" type="noConversion"/>
  </si>
  <si>
    <t>구매 Sheet 참고</t>
    <phoneticPr fontId="1" type="noConversion"/>
  </si>
  <si>
    <t>정직원 수 4 → 3명, 팔레트 위치 수 480 → 90</t>
    <phoneticPr fontId="1" type="noConversion"/>
  </si>
  <si>
    <t>혼합기 푸르트믹스MQ → 메가천20 변경</t>
    <phoneticPr fontId="1" type="noConversion"/>
  </si>
  <si>
    <t>유지 | 스위스필2, 2교대, SMED, 고장해결훈련, 속도증대
수정 | 고장예방정비 조금(1h)→많음(3h), PET병 부풀리기</t>
    <phoneticPr fontId="1" type="noConversion"/>
  </si>
  <si>
    <t>주당 수요(개수)</t>
  </si>
  <si>
    <t>주당수요(금액)</t>
  </si>
  <si>
    <t>판매단가</t>
  </si>
  <si>
    <t>제품별 고객별 총이익</t>
  </si>
  <si>
    <t>제품당 마진</t>
  </si>
  <si>
    <t>고객 확보 유통기한 (%)</t>
  </si>
  <si>
    <t>서비스수준(개수)</t>
  </si>
  <si>
    <t>서비스수준(라인품목)</t>
  </si>
  <si>
    <t>판촉행사로 인한 추가판매(%)</t>
  </si>
  <si>
    <t>즉시가용성 (OSA)</t>
  </si>
  <si>
    <t>탄소
발자국</t>
    <phoneticPr fontId="29" type="noConversion"/>
  </si>
  <si>
    <r>
      <rPr>
        <sz val="11"/>
        <color rgb="FF000000"/>
        <rFont val="맑은 고딕"/>
        <family val="3"/>
        <charset val="129"/>
      </rPr>
      <t>웹샵</t>
    </r>
    <r>
      <rPr>
        <sz val="11"/>
        <color theme="1"/>
        <rFont val="맑은 고딕"/>
        <family val="2"/>
        <charset val="129"/>
        <scheme val="minor"/>
      </rPr>
      <t xml:space="preserve">(Webshop) 
</t>
    </r>
    <r>
      <rPr>
        <sz val="8"/>
        <color rgb="FF000000"/>
        <rFont val="Calibri"/>
        <family val="2"/>
      </rPr>
      <t>:</t>
    </r>
    <r>
      <rPr>
        <sz val="8"/>
        <color rgb="FF000000"/>
        <rFont val="맑은 고딕"/>
        <family val="3"/>
        <charset val="129"/>
      </rPr>
      <t>서비스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수준의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결과로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인한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다음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회자에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추가되는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판매</t>
    </r>
    <phoneticPr fontId="29" type="noConversion"/>
  </si>
  <si>
    <t>Food &amp; Groceries</t>
  </si>
  <si>
    <t>푸레시 오렌지 1 리터</t>
  </si>
  <si>
    <t>푸레시 오렌지/C-파워 1 리터</t>
  </si>
  <si>
    <t>푸레시 오렌지/망고 1 리터</t>
  </si>
  <si>
    <t>푸레시 오렌지 PET</t>
  </si>
  <si>
    <t>푸레시 오렌지/C-파워 PET</t>
  </si>
  <si>
    <t>푸레시 오렌지/망고 PET</t>
  </si>
  <si>
    <t>LAND Market</t>
  </si>
  <si>
    <t>Dominick's</t>
  </si>
  <si>
    <t>생산공정</t>
    <phoneticPr fontId="1" type="noConversion"/>
  </si>
  <si>
    <t>예방검사</t>
    <phoneticPr fontId="1" type="noConversion"/>
  </si>
  <si>
    <t xml:space="preserve">1h </t>
    <phoneticPr fontId="1" type="noConversion"/>
  </si>
  <si>
    <t>3h</t>
    <phoneticPr fontId="1" type="noConversion"/>
  </si>
  <si>
    <t>조금</t>
    <phoneticPr fontId="1" type="noConversion"/>
  </si>
  <si>
    <t>많음</t>
    <phoneticPr fontId="1" type="noConversion"/>
  </si>
  <si>
    <t>이전회차 미사용 캐파</t>
    <phoneticPr fontId="1" type="noConversion"/>
  </si>
  <si>
    <t>12.6h</t>
    <phoneticPr fontId="1" type="noConversion"/>
  </si>
  <si>
    <t>10.6h</t>
    <phoneticPr fontId="1" type="noConversion"/>
  </si>
  <si>
    <t>이전회차 고장시간</t>
    <phoneticPr fontId="1" type="noConversion"/>
  </si>
  <si>
    <t>1시간 확보 -0.8초과시간 메꿔 생산계획 준수율 증가 가능</t>
    <phoneticPr fontId="1" type="noConversion"/>
  </si>
  <si>
    <t>혼합기</t>
    <phoneticPr fontId="1" type="noConversion"/>
  </si>
  <si>
    <t>=130일/생산간격</t>
    <phoneticPr fontId="1" type="noConversion"/>
  </si>
  <si>
    <t>=주당수요/5일*생산간격</t>
    <phoneticPr fontId="1" type="noConversion"/>
  </si>
  <si>
    <t>1회 생산배치</t>
    <phoneticPr fontId="1" type="noConversion"/>
  </si>
  <si>
    <t>총생산배치</t>
    <phoneticPr fontId="1" type="noConversion"/>
  </si>
  <si>
    <t>푸르트믹스</t>
    <phoneticPr fontId="1" type="noConversion"/>
  </si>
  <si>
    <t>제품명</t>
    <phoneticPr fontId="1" type="noConversion"/>
  </si>
  <si>
    <t>주당수요</t>
    <phoneticPr fontId="1" type="noConversion"/>
  </si>
  <si>
    <t xml:space="preserve">리터환산(L) </t>
    <phoneticPr fontId="1" type="noConversion"/>
  </si>
  <si>
    <t>생산간격(일)</t>
    <phoneticPr fontId="1" type="noConversion"/>
  </si>
  <si>
    <t>생산횟수</t>
    <phoneticPr fontId="1" type="noConversion"/>
  </si>
  <si>
    <t>1회 생산량</t>
    <phoneticPr fontId="1" type="noConversion"/>
  </si>
  <si>
    <t>푸르트</t>
    <phoneticPr fontId="1" type="noConversion"/>
  </si>
  <si>
    <t>메가천</t>
    <phoneticPr fontId="1" type="noConversion"/>
  </si>
  <si>
    <t>배치(개)</t>
    <phoneticPr fontId="1" type="noConversion"/>
  </si>
  <si>
    <t>푸레시 오렌지 1리터</t>
    <phoneticPr fontId="1" type="noConversion"/>
  </si>
  <si>
    <t>푸레시 오렌지/c파워 1리터</t>
    <phoneticPr fontId="1" type="noConversion"/>
  </si>
  <si>
    <t>가동시간 비용</t>
    <phoneticPr fontId="1" type="noConversion"/>
  </si>
  <si>
    <t>푸레시 오랜지/망고 1리터</t>
    <phoneticPr fontId="1" type="noConversion"/>
  </si>
  <si>
    <t>라운드당 비용</t>
    <phoneticPr fontId="1" type="noConversion"/>
  </si>
  <si>
    <t>푸레시 오렌지 pet</t>
    <phoneticPr fontId="1" type="noConversion"/>
  </si>
  <si>
    <t>총비용</t>
    <phoneticPr fontId="1" type="noConversion"/>
  </si>
  <si>
    <t>푸레시 오렌지/c파워 pet</t>
    <phoneticPr fontId="1" type="noConversion"/>
  </si>
  <si>
    <t>투자비용</t>
    <phoneticPr fontId="1" type="noConversion"/>
  </si>
  <si>
    <t>푸레시 오렌지/망고 pet</t>
    <phoneticPr fontId="1" type="noConversion"/>
  </si>
  <si>
    <t>이익</t>
    <phoneticPr fontId="1" type="noConversion"/>
  </si>
  <si>
    <t>총합</t>
    <phoneticPr fontId="1" type="noConversion"/>
  </si>
  <si>
    <t>현재 영업이익</t>
    <phoneticPr fontId="1" type="noConversion"/>
  </si>
  <si>
    <t>현재 투자비</t>
    <phoneticPr fontId="1" type="noConversion"/>
  </si>
  <si>
    <t>현재 ROI</t>
    <phoneticPr fontId="1" type="noConversion"/>
  </si>
  <si>
    <t>메가천 영업이익</t>
    <phoneticPr fontId="1" type="noConversion"/>
  </si>
  <si>
    <t>새로운 투자비</t>
    <phoneticPr fontId="1" type="noConversion"/>
  </si>
  <si>
    <t>새로운 ROI</t>
    <phoneticPr fontId="1" type="noConversion"/>
  </si>
  <si>
    <t>생산 Sheet 참고</t>
    <phoneticPr fontId="1" type="noConversion"/>
  </si>
  <si>
    <t>완제품 창고&amp;SCM과 협의가 필요하여 아직은 보류</t>
    <phoneticPr fontId="1" type="noConversion"/>
  </si>
  <si>
    <t>&lt;부서별 문제-해결책&gt;</t>
    <phoneticPr fontId="1" type="noConversion"/>
  </si>
  <si>
    <t>서비스수준 높여 계약 (고객사별로 달리)
모든 고객사 확보 유통기한 70%→80%</t>
    <phoneticPr fontId="1" type="noConversion"/>
  </si>
  <si>
    <t xml:space="preserve">① Plantin 업체 품질 중간 → 높음 
(계약지수가 0.02증가, 구매비용 314유로 증가)
② Miami Oranges 납품신뢰성 98% → 97%, 
품질 높음 → 중간
</t>
    <phoneticPr fontId="1" type="noConversion"/>
  </si>
  <si>
    <t>유통기한, 서비스수준 유지하되
(F&amp;G만 95→94%)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</si>
</sst>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176" formatCode="_(* #,##0_);_(* \(#,##0\);_(* &quot;-&quot;_);_(@_)"/>
    <numFmt numFmtId="177" formatCode="#,##0_ "/>
    <numFmt numFmtId="178" formatCode="#,##0.0_ "/>
    <numFmt numFmtId="179" formatCode="#0"/>
    <numFmt numFmtId="180" formatCode="0.00000_ "/>
    <numFmt numFmtId="181" formatCode="0.0_ "/>
    <numFmt numFmtId="182" formatCode="#,##0_);[Red]\(#,##0\)"/>
    <numFmt numFmtId="183" formatCode="#0.00"/>
    <numFmt numFmtId="184" formatCode="#0.0000"/>
    <numFmt numFmtId="185" formatCode="#0.0%"/>
    <numFmt numFmtId="186" formatCode="0_);[Red]\(0\)"/>
  </numFmts>
  <fonts count="6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0" tint="-0.499984740745262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Calibri"/>
      <family val="2"/>
    </font>
    <font>
      <sz val="10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name val="Calibri"/>
      <family val="2"/>
    </font>
    <font>
      <sz val="10"/>
      <name val="Calibri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000000"/>
      <name val="Calibri"/>
      <family val="2"/>
      <charset val="129"/>
    </font>
    <font>
      <sz val="11"/>
      <color rgb="FF000000"/>
      <name val="Malgun Gothic"/>
      <family val="2"/>
      <charset val="129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b/>
      <sz val="11"/>
      <color rgb="FF7030A0"/>
      <name val="맑은 고딕"/>
      <family val="3"/>
      <charset val="129"/>
      <scheme val="minor"/>
    </font>
    <font>
      <b/>
      <sz val="9"/>
      <color rgb="FF7030A0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2"/>
      <charset val="129"/>
    </font>
    <font>
      <b/>
      <sz val="12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rgb="FF000000"/>
      <name val="Calibri"/>
      <family val="2"/>
    </font>
    <font>
      <sz val="8"/>
      <color rgb="FF00000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 applyNumberFormat="0" applyBorder="0" applyAlignment="0"/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0" fillId="2" borderId="6" xfId="0" applyFill="1" applyBorder="1">
      <alignment vertical="center"/>
    </xf>
    <xf numFmtId="0" fontId="7" fillId="2" borderId="2" xfId="1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7" fillId="2" borderId="1" xfId="1" applyFont="1" applyFill="1" applyBorder="1"/>
    <xf numFmtId="0" fontId="6" fillId="5" borderId="1" xfId="0" applyFont="1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1" fontId="17" fillId="10" borderId="0" xfId="1" applyNumberFormat="1" applyFont="1" applyFill="1" applyAlignment="1">
      <alignment vertical="center"/>
    </xf>
    <xf numFmtId="176" fontId="17" fillId="10" borderId="0" xfId="2" applyFont="1" applyFill="1" applyAlignment="1">
      <alignment horizontal="center" vertical="center"/>
    </xf>
    <xf numFmtId="176" fontId="17" fillId="10" borderId="0" xfId="2" applyFont="1" applyFill="1" applyAlignment="1">
      <alignment vertical="center"/>
    </xf>
    <xf numFmtId="176" fontId="18" fillId="10" borderId="0" xfId="2" applyFont="1" applyFill="1" applyAlignment="1">
      <alignment vertical="center"/>
    </xf>
    <xf numFmtId="176" fontId="19" fillId="10" borderId="0" xfId="2" applyFont="1" applyFill="1">
      <alignment vertical="center"/>
    </xf>
    <xf numFmtId="0" fontId="20" fillId="0" borderId="0" xfId="0" applyFont="1">
      <alignment vertical="center"/>
    </xf>
    <xf numFmtId="177" fontId="0" fillId="0" borderId="0" xfId="0" applyNumberFormat="1">
      <alignment vertical="center"/>
    </xf>
    <xf numFmtId="0" fontId="12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14" fillId="8" borderId="1" xfId="0" applyFont="1" applyFill="1" applyBorder="1">
      <alignment vertical="center"/>
    </xf>
    <xf numFmtId="177" fontId="15" fillId="0" borderId="1" xfId="0" applyNumberFormat="1" applyFont="1" applyBorder="1" applyAlignment="1">
      <alignment horizontal="center" vertical="center"/>
    </xf>
    <xf numFmtId="177" fontId="15" fillId="9" borderId="1" xfId="0" applyNumberFormat="1" applyFont="1" applyFill="1" applyBorder="1" applyAlignment="1">
      <alignment horizontal="left" vertical="center"/>
    </xf>
    <xf numFmtId="177" fontId="15" fillId="0" borderId="1" xfId="0" applyNumberFormat="1" applyFont="1" applyBorder="1">
      <alignment vertical="center"/>
    </xf>
    <xf numFmtId="177" fontId="15" fillId="0" borderId="1" xfId="0" applyNumberFormat="1" applyFont="1" applyBorder="1" applyAlignment="1">
      <alignment horizontal="right" vertical="center"/>
    </xf>
    <xf numFmtId="178" fontId="15" fillId="0" borderId="1" xfId="0" applyNumberFormat="1" applyFont="1" applyBorder="1">
      <alignment vertical="center"/>
    </xf>
    <xf numFmtId="178" fontId="15" fillId="0" borderId="1" xfId="0" applyNumberFormat="1" applyFont="1" applyBorder="1" applyAlignment="1">
      <alignment horizontal="center" vertical="center"/>
    </xf>
    <xf numFmtId="177" fontId="16" fillId="9" borderId="1" xfId="0" applyNumberFormat="1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 wrapText="1"/>
    </xf>
    <xf numFmtId="177" fontId="15" fillId="0" borderId="1" xfId="0" applyNumberFormat="1" applyFont="1" applyFill="1" applyBorder="1">
      <alignment vertical="center"/>
    </xf>
    <xf numFmtId="177" fontId="21" fillId="0" borderId="1" xfId="0" applyNumberFormat="1" applyFont="1" applyBorder="1" applyAlignment="1">
      <alignment horizontal="center" vertical="center"/>
    </xf>
    <xf numFmtId="1" fontId="22" fillId="10" borderId="0" xfId="1" applyNumberFormat="1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3" fillId="7" borderId="10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4" borderId="14" xfId="0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/>
    <xf numFmtId="0" fontId="27" fillId="0" borderId="0" xfId="0" applyFont="1" applyAlignment="1"/>
    <xf numFmtId="0" fontId="30" fillId="0" borderId="0" xfId="0" applyFont="1" applyAlignment="1"/>
    <xf numFmtId="0" fontId="32" fillId="0" borderId="0" xfId="0" applyFont="1" applyAlignment="1"/>
    <xf numFmtId="0" fontId="0" fillId="4" borderId="0" xfId="0" applyFill="1">
      <alignment vertical="center"/>
    </xf>
    <xf numFmtId="0" fontId="33" fillId="0" borderId="7" xfId="0" applyFont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7" fillId="0" borderId="2" xfId="1" applyFont="1" applyFill="1" applyBorder="1"/>
    <xf numFmtId="0" fontId="0" fillId="0" borderId="1" xfId="0" applyFill="1" applyBorder="1" applyAlignment="1">
      <alignment horizontal="center" vertical="center"/>
    </xf>
    <xf numFmtId="0" fontId="35" fillId="0" borderId="5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25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36" fillId="0" borderId="3" xfId="0" applyFont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4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21" xfId="0" applyBorder="1" applyAlignment="1"/>
    <xf numFmtId="0" fontId="42" fillId="7" borderId="1" xfId="0" applyFont="1" applyFill="1" applyBorder="1" applyAlignment="1">
      <alignment horizontal="center"/>
    </xf>
    <xf numFmtId="0" fontId="43" fillId="9" borderId="1" xfId="0" applyFont="1" applyFill="1" applyBorder="1" applyAlignment="1"/>
    <xf numFmtId="0" fontId="36" fillId="0" borderId="1" xfId="0" applyFont="1" applyBorder="1" applyAlignment="1"/>
    <xf numFmtId="0" fontId="44" fillId="0" borderId="1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3" fillId="0" borderId="0" xfId="0" applyFont="1" applyBorder="1" applyAlignment="1">
      <alignment vertical="center"/>
    </xf>
    <xf numFmtId="0" fontId="33" fillId="0" borderId="0" xfId="0" applyFont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 applyAlignment="1">
      <alignment horizontal="left" vertical="center" wrapText="1"/>
    </xf>
    <xf numFmtId="0" fontId="7" fillId="0" borderId="18" xfId="1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4" fillId="12" borderId="18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9" fillId="0" borderId="0" xfId="0" applyFont="1">
      <alignment vertical="center"/>
    </xf>
    <xf numFmtId="0" fontId="0" fillId="0" borderId="1" xfId="0" applyBorder="1" applyAlignment="1">
      <alignment horizontal="left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7" fillId="4" borderId="2" xfId="0" applyFont="1" applyFill="1" applyBorder="1" applyAlignment="1">
      <alignment horizontal="center" vertical="center"/>
    </xf>
    <xf numFmtId="179" fontId="32" fillId="0" borderId="1" xfId="0" applyNumberFormat="1" applyFont="1" applyBorder="1" applyAlignment="1"/>
    <xf numFmtId="0" fontId="32" fillId="0" borderId="1" xfId="0" applyFont="1" applyBorder="1" applyAlignment="1"/>
    <xf numFmtId="0" fontId="0" fillId="0" borderId="16" xfId="0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0" fontId="37" fillId="4" borderId="14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7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32" fillId="0" borderId="1" xfId="0" applyNumberFormat="1" applyFont="1" applyBorder="1" applyAlignment="1"/>
    <xf numFmtId="0" fontId="23" fillId="7" borderId="1" xfId="0" applyFont="1" applyFill="1" applyBorder="1" applyAlignment="1"/>
    <xf numFmtId="0" fontId="23" fillId="7" borderId="1" xfId="0" applyFont="1" applyFill="1" applyBorder="1" applyAlignment="1">
      <alignment horizontal="center" vertical="center"/>
    </xf>
    <xf numFmtId="0" fontId="54" fillId="4" borderId="1" xfId="0" applyFont="1" applyFill="1" applyBorder="1" applyAlignment="1"/>
    <xf numFmtId="0" fontId="3" fillId="0" borderId="0" xfId="0" applyFont="1" applyFill="1" applyAlignment="1">
      <alignment vertical="center"/>
    </xf>
    <xf numFmtId="0" fontId="54" fillId="13" borderId="1" xfId="0" applyFont="1" applyFill="1" applyBorder="1" applyAlignment="1"/>
    <xf numFmtId="181" fontId="54" fillId="0" borderId="1" xfId="0" applyNumberFormat="1" applyFont="1" applyBorder="1" applyAlignment="1"/>
    <xf numFmtId="3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82" fontId="0" fillId="0" borderId="0" xfId="0" applyNumberFormat="1" applyBorder="1">
      <alignment vertical="center"/>
    </xf>
    <xf numFmtId="182" fontId="32" fillId="0" borderId="0" xfId="0" applyNumberFormat="1" applyFont="1" applyBorder="1" applyAlignment="1"/>
    <xf numFmtId="0" fontId="0" fillId="0" borderId="27" xfId="0" applyBorder="1" applyAlignment="1">
      <alignment horizontal="center" vertical="center"/>
    </xf>
    <xf numFmtId="3" fontId="0" fillId="0" borderId="27" xfId="0" applyNumberFormat="1" applyBorder="1">
      <alignment vertical="center"/>
    </xf>
    <xf numFmtId="182" fontId="0" fillId="0" borderId="27" xfId="0" applyNumberFormat="1" applyBorder="1">
      <alignment vertical="center"/>
    </xf>
    <xf numFmtId="0" fontId="0" fillId="0" borderId="27" xfId="0" applyBorder="1">
      <alignment vertical="center"/>
    </xf>
    <xf numFmtId="182" fontId="32" fillId="0" borderId="27" xfId="0" applyNumberFormat="1" applyFont="1" applyBorder="1" applyAlignment="1"/>
    <xf numFmtId="0" fontId="6" fillId="0" borderId="19" xfId="0" applyFont="1" applyBorder="1" applyAlignment="1">
      <alignment horizontal="left" vertical="center" wrapText="1"/>
    </xf>
    <xf numFmtId="0" fontId="0" fillId="0" borderId="37" xfId="0" applyBorder="1">
      <alignment vertical="center"/>
    </xf>
    <xf numFmtId="0" fontId="0" fillId="13" borderId="37" xfId="0" applyFill="1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0" borderId="37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>
      <alignment vertical="center"/>
    </xf>
    <xf numFmtId="0" fontId="10" fillId="0" borderId="0" xfId="0" applyFont="1" applyAlignment="1">
      <alignment vertical="center"/>
    </xf>
    <xf numFmtId="0" fontId="6" fillId="0" borderId="39" xfId="0" applyFont="1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4" fillId="0" borderId="0" xfId="0" applyFont="1">
      <alignment vertical="center"/>
    </xf>
    <xf numFmtId="3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37" fillId="4" borderId="5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19" borderId="1" xfId="0" applyFont="1" applyFill="1" applyBorder="1" applyAlignment="1">
      <alignment horizontal="center" vertical="center" wrapText="1"/>
    </xf>
    <xf numFmtId="0" fontId="6" fillId="0" borderId="48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vertical="center" wrapText="1"/>
    </xf>
    <xf numFmtId="0" fontId="6" fillId="0" borderId="51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7" fillId="19" borderId="3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52" xfId="0" applyFont="1" applyBorder="1" applyAlignment="1">
      <alignment vertical="center" wrapText="1"/>
    </xf>
    <xf numFmtId="0" fontId="0" fillId="0" borderId="28" xfId="0" applyFont="1" applyBorder="1" applyAlignment="1">
      <alignment horizontal="left" vertical="center" wrapText="1"/>
    </xf>
    <xf numFmtId="0" fontId="0" fillId="12" borderId="0" xfId="0" applyFill="1">
      <alignment vertical="center"/>
    </xf>
    <xf numFmtId="0" fontId="37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4" fillId="20" borderId="3" xfId="0" applyFont="1" applyFill="1" applyBorder="1" applyAlignment="1"/>
    <xf numFmtId="3" fontId="2" fillId="0" borderId="0" xfId="0" applyNumberFormat="1" applyFont="1">
      <alignment vertical="center"/>
    </xf>
    <xf numFmtId="0" fontId="4" fillId="20" borderId="44" xfId="0" applyFont="1" applyFill="1" applyBorder="1" applyAlignment="1">
      <alignment vertical="center" wrapText="1"/>
    </xf>
    <xf numFmtId="0" fontId="4" fillId="20" borderId="46" xfId="0" applyFont="1" applyFill="1" applyBorder="1" applyAlignment="1">
      <alignment vertical="center" wrapText="1"/>
    </xf>
    <xf numFmtId="0" fontId="0" fillId="20" borderId="44" xfId="0" applyFill="1" applyBorder="1" applyAlignment="1">
      <alignment vertical="center" wrapText="1"/>
    </xf>
    <xf numFmtId="0" fontId="0" fillId="20" borderId="31" xfId="0" applyFill="1" applyBorder="1" applyAlignment="1">
      <alignment horizontal="center" vertical="center" wrapText="1"/>
    </xf>
    <xf numFmtId="0" fontId="4" fillId="20" borderId="31" xfId="0" applyFont="1" applyFill="1" applyBorder="1" applyAlignment="1">
      <alignment vertical="center" wrapText="1"/>
    </xf>
    <xf numFmtId="0" fontId="0" fillId="20" borderId="46" xfId="0" applyFill="1" applyBorder="1" applyAlignment="1">
      <alignment vertical="center" wrapText="1"/>
    </xf>
    <xf numFmtId="0" fontId="57" fillId="20" borderId="53" xfId="0" applyFont="1" applyFill="1" applyBorder="1" applyAlignment="1">
      <alignment vertical="center" wrapText="1"/>
    </xf>
    <xf numFmtId="0" fontId="57" fillId="20" borderId="17" xfId="0" applyFont="1" applyFill="1" applyBorder="1" applyAlignment="1">
      <alignment vertical="center" wrapText="1"/>
    </xf>
    <xf numFmtId="0" fontId="57" fillId="20" borderId="16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0" borderId="8" xfId="0" applyBorder="1">
      <alignment vertical="center"/>
    </xf>
    <xf numFmtId="3" fontId="0" fillId="0" borderId="1" xfId="0" applyNumberFormat="1" applyBorder="1">
      <alignment vertical="center"/>
    </xf>
    <xf numFmtId="0" fontId="0" fillId="13" borderId="1" xfId="0" applyFill="1" applyBorder="1">
      <alignment vertical="center"/>
    </xf>
    <xf numFmtId="3" fontId="0" fillId="13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left" vertical="center" wrapText="1"/>
    </xf>
    <xf numFmtId="0" fontId="37" fillId="12" borderId="1" xfId="0" applyFont="1" applyFill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10" fillId="0" borderId="7" xfId="0" applyFont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4" fillId="12" borderId="5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7" fillId="4" borderId="24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2" xfId="0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 vertical="center" wrapText="1"/>
    </xf>
    <xf numFmtId="0" fontId="0" fillId="0" borderId="40" xfId="0" applyFill="1" applyBorder="1" applyAlignment="1">
      <alignment horizontal="left" vertical="center" wrapText="1"/>
    </xf>
    <xf numFmtId="0" fontId="0" fillId="0" borderId="29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40" xfId="0" applyFont="1" applyFill="1" applyBorder="1" applyAlignment="1">
      <alignment horizontal="left" vertical="center" wrapText="1"/>
    </xf>
    <xf numFmtId="0" fontId="7" fillId="0" borderId="29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36" xfId="0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7" fillId="0" borderId="47" xfId="1" applyFont="1" applyFill="1" applyBorder="1" applyAlignment="1">
      <alignment horizontal="center" vertical="center" wrapText="1"/>
    </xf>
    <xf numFmtId="0" fontId="7" fillId="0" borderId="41" xfId="1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37" fillId="11" borderId="28" xfId="0" applyFont="1" applyFill="1" applyBorder="1" applyAlignment="1">
      <alignment horizontal="center" vertical="center" wrapText="1"/>
    </xf>
    <xf numFmtId="0" fontId="37" fillId="11" borderId="3" xfId="0" applyFont="1" applyFill="1" applyBorder="1" applyAlignment="1">
      <alignment horizontal="center" vertical="center" wrapText="1"/>
    </xf>
    <xf numFmtId="0" fontId="37" fillId="11" borderId="25" xfId="0" applyFont="1" applyFill="1" applyBorder="1" applyAlignment="1">
      <alignment horizontal="center" vertical="center" wrapText="1"/>
    </xf>
    <xf numFmtId="0" fontId="37" fillId="11" borderId="5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11" borderId="2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7" fillId="11" borderId="28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0" fontId="37" fillId="4" borderId="18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37" fillId="4" borderId="6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3" fillId="18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0" fillId="11" borderId="0" xfId="0" applyFill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30" fillId="11" borderId="0" xfId="0" applyFont="1" applyFill="1" applyAlignment="1">
      <alignment horizontal="center" vertical="center" wrapText="1"/>
    </xf>
    <xf numFmtId="179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79" fontId="0" fillId="0" borderId="27" xfId="0" applyNumberFormat="1" applyBorder="1" applyAlignment="1"/>
    <xf numFmtId="183" fontId="0" fillId="0" borderId="27" xfId="0" applyNumberFormat="1" applyBorder="1" applyAlignment="1"/>
    <xf numFmtId="184" fontId="0" fillId="0" borderId="27" xfId="0" applyNumberFormat="1" applyBorder="1" applyAlignment="1"/>
    <xf numFmtId="185" fontId="0" fillId="0" borderId="27" xfId="0" applyNumberFormat="1" applyBorder="1" applyAlignment="1"/>
    <xf numFmtId="42" fontId="20" fillId="0" borderId="1" xfId="3" quotePrefix="1" applyFont="1" applyBorder="1">
      <alignment vertical="center"/>
    </xf>
    <xf numFmtId="0" fontId="20" fillId="0" borderId="1" xfId="0" quotePrefix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>
      <alignment vertical="center"/>
    </xf>
    <xf numFmtId="2" fontId="0" fillId="21" borderId="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3" fontId="0" fillId="21" borderId="1" xfId="0" applyNumberFormat="1" applyFill="1" applyBorder="1">
      <alignment vertical="center"/>
    </xf>
    <xf numFmtId="3" fontId="0" fillId="5" borderId="1" xfId="0" applyNumberFormat="1" applyFill="1" applyBorder="1">
      <alignment vertical="center"/>
    </xf>
    <xf numFmtId="0" fontId="0" fillId="22" borderId="1" xfId="0" applyFill="1" applyBorder="1">
      <alignment vertical="center"/>
    </xf>
    <xf numFmtId="3" fontId="0" fillId="22" borderId="1" xfId="0" applyNumberFormat="1" applyFill="1" applyBorder="1">
      <alignment vertical="center"/>
    </xf>
    <xf numFmtId="0" fontId="0" fillId="0" borderId="28" xfId="0" applyFont="1" applyBorder="1" applyAlignment="1">
      <alignment horizontal="center" vertical="center" wrapText="1"/>
    </xf>
  </cellXfs>
  <cellStyles count="4">
    <cellStyle name="쉼표 [0]" xfId="2" builtinId="6"/>
    <cellStyle name="통화 [0]" xfId="3" builtinId="7"/>
    <cellStyle name="표준" xfId="0" builtinId="0"/>
    <cellStyle name="표준 2" xfId="1" xr:uid="{00000000-0005-0000-0000-000002000000}"/>
  </cellStyles>
  <dxfs count="5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2612573</xdr:colOff>
      <xdr:row>8</xdr:row>
      <xdr:rowOff>185058</xdr:rowOff>
    </xdr:from>
    <xdr:to>
      <xdr:col>9</xdr:col>
      <xdr:colOff>10679</xdr:colOff>
      <xdr:row>29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F549151-5F73-4BC9-4E3B-03A401D3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18230" y="4974772"/>
          <a:ext cx="4038392" cy="2514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324331</xdr:colOff>
      <xdr:row>24</xdr:row>
      <xdr:rowOff>43542</xdr:rowOff>
    </xdr:from>
    <xdr:to>
      <xdr:col>5</xdr:col>
      <xdr:colOff>733963</xdr:colOff>
      <xdr:row>49</xdr:row>
      <xdr:rowOff>145603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0C6510-74F8-441F-1443-B2A0ACAE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331" y="6335485"/>
          <a:ext cx="9357689" cy="6045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280787</xdr:colOff>
      <xdr:row>28</xdr:row>
      <xdr:rowOff>10886</xdr:rowOff>
    </xdr:from>
    <xdr:to>
      <xdr:col>6</xdr:col>
      <xdr:colOff>3455340</xdr:colOff>
      <xdr:row>51</xdr:row>
      <xdr:rowOff>134719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63C300-FDFC-4A9F-A5C7-53F618DC3D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7742"/>
        <a:stretch/>
      </xdr:blipFill>
      <xdr:spPr>
        <a:xfrm>
          <a:off x="1271387" y="6727372"/>
          <a:ext cx="9335918" cy="5577576"/>
        </a:xfrm>
        <a:prstGeom prst="rect">
          <a:avLst/>
        </a:prstGeom>
      </xdr:spPr>
    </xdr:pic>
    <xdr:clientData/>
  </xdr:twoCellAnchor>
  <xdr:twoCellAnchor editAs="oneCell">
    <xdr:from>
      <xdr:col>0</xdr:col>
      <xdr:colOff>348341</xdr:colOff>
      <xdr:row>28</xdr:row>
      <xdr:rowOff>43542</xdr:rowOff>
    </xdr:from>
    <xdr:to>
      <xdr:col>6</xdr:col>
      <xdr:colOff>2418347</xdr:colOff>
      <xdr:row>50</xdr:row>
      <xdr:rowOff>174174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9EDB83A-8E46-8D72-AAE9-EA552B33C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8341" y="6760028"/>
          <a:ext cx="8941184" cy="5366659"/>
        </a:xfrm>
        <a:prstGeom prst="rect">
          <a:avLst/>
        </a:prstGeom>
      </xdr:spPr>
    </xdr:pic>
    <xdr:clientData/>
  </xdr:twoCellAnchor>
  <xdr:twoCellAnchor>
    <xdr:from>
      <xdr:col>2</xdr:col>
      <xdr:colOff>1447800</xdr:colOff>
      <xdr:row>47</xdr:row>
      <xdr:rowOff>65315</xdr:rowOff>
    </xdr:from>
    <xdr:to>
      <xdr:col>2</xdr:col>
      <xdr:colOff>3439885</xdr:colOff>
      <xdr:row>50</xdr:row>
      <xdr:rowOff>141515</xdr:rowOff>
    </xdr:to>
    <xdr:sp macro="" textlink="">
      <xdr:nvSpPr>
        <xdr:cNvPr id="4" name="액자 3">
          <a:extLst>
            <a:ext uri="{FF2B5EF4-FFF2-40B4-BE49-F238E27FC236}">
              <a16:creationId xmlns:a16="http://schemas.microsoft.com/office/drawing/2014/main" id="{2BCD5607-8F9E-EE29-766E-166A9A403CEA}"/>
            </a:ext>
          </a:extLst>
        </xdr:cNvPr>
        <xdr:cNvSpPr/>
      </xdr:nvSpPr>
      <xdr:spPr>
        <a:xfrm>
          <a:off x="2438400" y="11364686"/>
          <a:ext cx="1992085" cy="729343"/>
        </a:xfrm>
        <a:prstGeom prst="frame">
          <a:avLst>
            <a:gd name="adj1" fmla="val 9515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1491343</xdr:colOff>
      <xdr:row>51</xdr:row>
      <xdr:rowOff>10886</xdr:rowOff>
    </xdr:from>
    <xdr:to>
      <xdr:col>3</xdr:col>
      <xdr:colOff>1458686</xdr:colOff>
      <xdr:row>54</xdr:row>
      <xdr:rowOff>43545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337F27-098A-4A39-50CF-C264311427C8}"/>
            </a:ext>
          </a:extLst>
        </xdr:cNvPr>
        <xdr:cNvSpPr txBox="1"/>
      </xdr:nvSpPr>
      <xdr:spPr>
        <a:xfrm>
          <a:off x="2481943" y="12181115"/>
          <a:ext cx="3635829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투자수익률 </a:t>
          </a:r>
          <a:r>
            <a:rPr lang="en-US" altLang="ko-KR" sz="1100"/>
            <a:t>1.65 </a:t>
          </a:r>
          <a:r>
            <a:rPr lang="ko-KR" altLang="en-US" sz="1100"/>
            <a:t>→ </a:t>
          </a:r>
          <a:r>
            <a:rPr lang="en-US" altLang="ko-KR" sz="1100"/>
            <a:t>2.70% (1.05% </a:t>
          </a:r>
          <a:r>
            <a:rPr lang="ko-KR" altLang="en-US" sz="1100"/>
            <a:t>증가</a:t>
          </a:r>
          <a:r>
            <a:rPr lang="en-US" altLang="ko-KR" sz="1100"/>
            <a:t>)</a:t>
          </a:r>
        </a:p>
        <a:p>
          <a:r>
            <a:rPr lang="ko-KR" altLang="en-US" sz="1100" b="1" u="sng"/>
            <a:t>→ 영업이익 </a:t>
          </a:r>
          <a:r>
            <a:rPr lang="en-US" altLang="ko-KR" sz="1100" b="1" u="sng"/>
            <a:t>4</a:t>
          </a:r>
          <a:r>
            <a:rPr lang="ko-KR" altLang="en-US" sz="1100" b="1" u="sng"/>
            <a:t>만 유로 증가</a:t>
          </a:r>
          <a:r>
            <a:rPr lang="en-US" altLang="ko-KR" sz="1100" b="1" u="sng"/>
            <a:t>, </a:t>
          </a:r>
          <a:r>
            <a:rPr lang="ko-KR" altLang="en-US" sz="1100" b="1" u="sng"/>
            <a:t>투자금액 </a:t>
          </a:r>
          <a:r>
            <a:rPr lang="en-US" altLang="ko-KR" sz="1100" b="1" u="sng"/>
            <a:t>4</a:t>
          </a:r>
          <a:r>
            <a:rPr lang="ko-KR" altLang="en-US" sz="1100" b="1" u="sng"/>
            <a:t>만 유로 감소</a:t>
          </a:r>
          <a:endParaRPr lang="en-US" altLang="ko-KR" sz="1100" b="1" u="sng"/>
        </a:p>
      </xdr:txBody>
    </xdr:sp>
    <xdr:clientData/>
  </xdr:twoCellAnchor>
  <xdr:twoCellAnchor editAs="oneCell">
    <xdr:from>
      <xdr:col>3</xdr:col>
      <xdr:colOff>4365171</xdr:colOff>
      <xdr:row>14</xdr:row>
      <xdr:rowOff>32658</xdr:rowOff>
    </xdr:from>
    <xdr:to>
      <xdr:col>6</xdr:col>
      <xdr:colOff>1413896</xdr:colOff>
      <xdr:row>28</xdr:row>
      <xdr:rowOff>32657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AB16B8E-1535-B701-C8AA-C91670D86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55771" y="7652658"/>
          <a:ext cx="4816771" cy="751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47</xdr:row>
      <xdr:rowOff>65315</xdr:rowOff>
    </xdr:from>
    <xdr:to>
      <xdr:col>2</xdr:col>
      <xdr:colOff>3439885</xdr:colOff>
      <xdr:row>50</xdr:row>
      <xdr:rowOff>141515</xdr:rowOff>
    </xdr:to>
    <xdr:sp macro="" textlink="">
      <xdr:nvSpPr>
        <xdr:cNvPr id="4" name="액자 3">
          <a:extLst>
            <a:ext uri="{FF2B5EF4-FFF2-40B4-BE49-F238E27FC236}">
              <a16:creationId xmlns:a16="http://schemas.microsoft.com/office/drawing/2014/main" id="{F34761E4-0388-455E-9EAB-48DBCEC30612}"/>
            </a:ext>
          </a:extLst>
        </xdr:cNvPr>
        <xdr:cNvSpPr/>
      </xdr:nvSpPr>
      <xdr:spPr>
        <a:xfrm>
          <a:off x="990600" y="13278395"/>
          <a:ext cx="0" cy="739140"/>
        </a:xfrm>
        <a:prstGeom prst="frame">
          <a:avLst>
            <a:gd name="adj1" fmla="val 9515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217713</xdr:colOff>
      <xdr:row>28</xdr:row>
      <xdr:rowOff>21773</xdr:rowOff>
    </xdr:from>
    <xdr:to>
      <xdr:col>7</xdr:col>
      <xdr:colOff>402771</xdr:colOff>
      <xdr:row>51</xdr:row>
      <xdr:rowOff>10887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36A219FC-038A-8244-130F-0AAC87E5FE64}"/>
            </a:ext>
          </a:extLst>
        </xdr:cNvPr>
        <xdr:cNvGrpSpPr/>
      </xdr:nvGrpSpPr>
      <xdr:grpSpPr>
        <a:xfrm>
          <a:off x="1208313" y="7315202"/>
          <a:ext cx="10526487" cy="5442856"/>
          <a:chOff x="457199" y="7217230"/>
          <a:chExt cx="11401661" cy="561273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87CBD0FA-EDBD-4550-ADFF-FAC1B228C7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7742"/>
          <a:stretch/>
        </xdr:blipFill>
        <xdr:spPr>
          <a:xfrm>
            <a:off x="2479385" y="7217230"/>
            <a:ext cx="9379475" cy="5612730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38D053E4-ABA0-3DC8-0767-9BA4F0F66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57199" y="7630885"/>
            <a:ext cx="8806706" cy="492034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794658</xdr:colOff>
      <xdr:row>29</xdr:row>
      <xdr:rowOff>326571</xdr:rowOff>
    </xdr:from>
    <xdr:to>
      <xdr:col>9</xdr:col>
      <xdr:colOff>87086</xdr:colOff>
      <xdr:row>43</xdr:row>
      <xdr:rowOff>65315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323897-5C80-BF0D-EF17-B12C8C8DBF03}"/>
            </a:ext>
          </a:extLst>
        </xdr:cNvPr>
        <xdr:cNvSpPr txBox="1"/>
      </xdr:nvSpPr>
      <xdr:spPr>
        <a:xfrm>
          <a:off x="12562115" y="7685314"/>
          <a:ext cx="6923314" cy="3233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투자수익률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(ROI) = (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영업이익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투자비용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)*100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실현된 매출액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계약된 매출액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보너스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벌금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매출원가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(COGS) 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직접자재비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생산비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노무비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일부 고정비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총 이익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실현된 매출액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매출원가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판매관리비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간접비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재고유지비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자재취급비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관리비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물류비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프로젝트비용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대금지급조건 이자비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영업이익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총이익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판매관리비</a:t>
          </a:r>
          <a:r>
            <a:rPr lang="ko-KR" altLang="en-US" sz="1200"/>
            <a:t> </a:t>
          </a:r>
          <a:endParaRPr lang="en-US" altLang="ko-KR" sz="1200"/>
        </a:p>
        <a:p>
          <a:endParaRPr lang="en-US" altLang="ko-K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투자비용 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고정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(250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라인장비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(802500)+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재고</a:t>
          </a:r>
          <a:r>
            <a:rPr lang="en-US" altLang="ko-K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ko-KR" alt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지불조건</a:t>
          </a:r>
          <a:r>
            <a:rPr lang="ko-KR" altLang="en-US" sz="12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41555</xdr:colOff>
      <xdr:row>2</xdr:row>
      <xdr:rowOff>207820</xdr:rowOff>
    </xdr:from>
    <xdr:to>
      <xdr:col>20</xdr:col>
      <xdr:colOff>0</xdr:colOff>
      <xdr:row>18</xdr:row>
      <xdr:rowOff>183910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78B9A-9D1C-25AF-4999-7918BE43C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05155" y="651165"/>
          <a:ext cx="10487900" cy="3625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171451</xdr:colOff>
      <xdr:row>4</xdr:row>
      <xdr:rowOff>106681</xdr:rowOff>
    </xdr:from>
    <xdr:ext cx="3803374" cy="3733014"/>
    <xdr:pic>
      <xdr:nvPicPr>
        <xdr:cNvPr id="2" name="그림 1">
          <a:extLst>
            <a:ext uri="{FF2B5EF4-FFF2-40B4-BE49-F238E27FC236}">
              <a16:creationId xmlns:a16="http://schemas.microsoft.com/office/drawing/2014/main" id="{28880A38-1F81-4B4C-9F3B-422A4292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2071" y="990601"/>
          <a:ext cx="3803374" cy="37330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80683</xdr:colOff>
      <xdr:row>5</xdr:row>
      <xdr:rowOff>19051</xdr:rowOff>
    </xdr:from>
    <xdr:ext cx="3918137" cy="4375245"/>
    <xdr:pic>
      <xdr:nvPicPr>
        <xdr:cNvPr id="2" name="그림 1">
          <a:extLst>
            <a:ext uri="{FF2B5EF4-FFF2-40B4-BE49-F238E27FC236}">
              <a16:creationId xmlns:a16="http://schemas.microsoft.com/office/drawing/2014/main" id="{A5A31D93-7E50-4979-8018-FE236E1C9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7107" y="1139639"/>
          <a:ext cx="3918137" cy="437524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122514</xdr:colOff>
      <xdr:row>1</xdr:row>
      <xdr:rowOff>167640</xdr:rowOff>
    </xdr:from>
    <xdr:to>
      <xdr:col>17</xdr:col>
      <xdr:colOff>259079</xdr:colOff>
      <xdr:row>9</xdr:row>
      <xdr:rowOff>10549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16111E-1747-4666-981F-2B9FE8CE6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9114" y="388620"/>
          <a:ext cx="2818805" cy="1656469"/>
        </a:xfrm>
        <a:prstGeom prst="rect">
          <a:avLst/>
        </a:prstGeom>
      </xdr:spPr>
    </xdr:pic>
    <xdr:clientData/>
  </xdr:twoCellAnchor>
  <xdr:twoCellAnchor editAs="oneCell">
    <xdr:from>
      <xdr:col>14</xdr:col>
      <xdr:colOff>90546</xdr:colOff>
      <xdr:row>9</xdr:row>
      <xdr:rowOff>212992</xdr:rowOff>
    </xdr:from>
    <xdr:to>
      <xdr:col>15</xdr:col>
      <xdr:colOff>358140</xdr:colOff>
      <xdr:row>15</xdr:row>
      <xdr:rowOff>63054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17D952-2B44-650A-AA62-9C342009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57706" y="2247532"/>
          <a:ext cx="938154" cy="1221662"/>
        </a:xfrm>
        <a:prstGeom prst="rect">
          <a:avLst/>
        </a:prstGeom>
      </xdr:spPr>
    </xdr:pic>
    <xdr:clientData/>
  </xdr:twoCellAnchor>
  <xdr:twoCellAnchor editAs="oneCell">
    <xdr:from>
      <xdr:col>15</xdr:col>
      <xdr:colOff>480232</xdr:colOff>
      <xdr:row>10</xdr:row>
      <xdr:rowOff>30652</xdr:rowOff>
    </xdr:from>
    <xdr:to>
      <xdr:col>17</xdr:col>
      <xdr:colOff>68579</xdr:colOff>
      <xdr:row>14</xdr:row>
      <xdr:rowOff>76199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04D9BA5-3AE3-FB6E-29B9-E879F997E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717952" y="2286172"/>
          <a:ext cx="929467" cy="929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44"/>
  <sheetViews>
    <sheetView topLeftCell="D1" zoomScale="60" zoomScaleNormal="60" workbookViewId="0">
      <selection activeCell="F63" sqref="F61:H63"/>
    </sheetView>
  </sheetViews>
  <sheetFormatPr defaultColWidth="8.59765625" defaultRowHeight="17.399999999999999"/>
  <cols>
    <col min="1" max="1" width="7.09765625" style="1" customWidth="1"/>
    <col min="2" max="2" width="12.3984375" style="1" bestFit="1" customWidth="1"/>
    <col min="3" max="3" width="27.3984375" style="2" bestFit="1" customWidth="1"/>
    <col min="4" max="4" width="32.59765625" style="1" customWidth="1"/>
    <col min="5" max="5" width="25.59765625" style="1" customWidth="1"/>
    <col min="6" max="6" width="37.5" style="1" bestFit="1" customWidth="1"/>
    <col min="7" max="7" width="61.09765625" style="1" bestFit="1" customWidth="1"/>
    <col min="8" max="8" width="67.09765625" style="1" bestFit="1" customWidth="1"/>
    <col min="9" max="16384" width="8.59765625" style="1"/>
  </cols>
  <sheetData>
    <row r="1" spans="2:8" ht="19.2">
      <c r="B1" s="474" t="s">
        <v>239</v>
      </c>
      <c r="C1" s="475"/>
      <c r="D1" s="476"/>
      <c r="E1" s="479" t="s">
        <v>241</v>
      </c>
      <c r="F1" s="473" t="s">
        <v>240</v>
      </c>
      <c r="G1" s="473" t="s">
        <v>293</v>
      </c>
      <c r="H1" s="473" t="s">
        <v>333</v>
      </c>
    </row>
    <row r="2" spans="2:8">
      <c r="B2" s="137" t="s">
        <v>250</v>
      </c>
      <c r="C2" s="155" t="s">
        <v>243</v>
      </c>
      <c r="D2" s="138" t="s">
        <v>274</v>
      </c>
      <c r="E2" s="480"/>
      <c r="F2" s="449"/>
      <c r="G2" s="449"/>
      <c r="H2" s="449"/>
    </row>
    <row r="3" spans="2:8">
      <c r="B3" s="187"/>
      <c r="C3" s="76" t="s">
        <v>198</v>
      </c>
      <c r="D3" s="194" t="s">
        <v>265</v>
      </c>
      <c r="E3" s="481" t="s">
        <v>202</v>
      </c>
      <c r="F3" s="188"/>
      <c r="G3" s="188"/>
      <c r="H3" s="187"/>
    </row>
    <row r="4" spans="2:8">
      <c r="B4" s="190"/>
      <c r="C4" s="161" t="s">
        <v>197</v>
      </c>
      <c r="D4" s="135" t="s">
        <v>203</v>
      </c>
      <c r="E4" s="469"/>
      <c r="F4" s="189" t="s">
        <v>289</v>
      </c>
      <c r="G4" s="189" t="s">
        <v>326</v>
      </c>
      <c r="H4" s="190"/>
    </row>
    <row r="5" spans="2:8">
      <c r="B5" s="190"/>
      <c r="C5" s="161" t="s">
        <v>199</v>
      </c>
      <c r="D5" s="135" t="s">
        <v>266</v>
      </c>
      <c r="E5" s="469"/>
      <c r="F5" s="190" t="s">
        <v>288</v>
      </c>
      <c r="G5" s="190" t="s">
        <v>327</v>
      </c>
      <c r="H5" s="190"/>
    </row>
    <row r="6" spans="2:8" ht="31.2">
      <c r="B6" s="190"/>
      <c r="C6" s="161" t="s">
        <v>200</v>
      </c>
      <c r="D6" s="160" t="s">
        <v>267</v>
      </c>
      <c r="E6" s="469"/>
      <c r="F6" s="190" t="s">
        <v>288</v>
      </c>
      <c r="G6" s="190" t="s">
        <v>330</v>
      </c>
      <c r="H6" s="190"/>
    </row>
    <row r="7" spans="2:8">
      <c r="B7" s="190"/>
      <c r="C7" s="161" t="s">
        <v>268</v>
      </c>
      <c r="D7" s="135"/>
      <c r="E7" s="469"/>
      <c r="F7" s="190" t="s">
        <v>288</v>
      </c>
      <c r="G7" s="190" t="s">
        <v>328</v>
      </c>
      <c r="H7" s="190"/>
    </row>
    <row r="8" spans="2:8" ht="18" thickBot="1">
      <c r="B8" s="193"/>
      <c r="C8" s="170" t="s">
        <v>201</v>
      </c>
      <c r="D8" s="171" t="s">
        <v>269</v>
      </c>
      <c r="E8" s="478"/>
      <c r="F8" s="193" t="s">
        <v>288</v>
      </c>
      <c r="G8" s="193" t="s">
        <v>329</v>
      </c>
      <c r="H8" s="193"/>
    </row>
    <row r="9" spans="2:8">
      <c r="B9" s="341" t="s">
        <v>60</v>
      </c>
      <c r="C9" s="161" t="s">
        <v>204</v>
      </c>
      <c r="D9" s="135" t="s">
        <v>251</v>
      </c>
      <c r="E9" s="469" t="s">
        <v>226</v>
      </c>
      <c r="F9" s="190" t="s">
        <v>275</v>
      </c>
      <c r="G9" s="190" t="s">
        <v>294</v>
      </c>
      <c r="H9" s="190"/>
    </row>
    <row r="10" spans="2:8">
      <c r="B10" s="341"/>
      <c r="C10" s="161" t="s">
        <v>205</v>
      </c>
      <c r="D10" s="135" t="s">
        <v>252</v>
      </c>
      <c r="E10" s="471"/>
      <c r="F10" s="133" t="s">
        <v>277</v>
      </c>
      <c r="G10" s="152" t="s">
        <v>291</v>
      </c>
      <c r="H10" s="190"/>
    </row>
    <row r="11" spans="2:8">
      <c r="B11" s="341"/>
      <c r="C11" s="161" t="s">
        <v>278</v>
      </c>
      <c r="D11" s="135" t="s">
        <v>254</v>
      </c>
      <c r="E11" s="471"/>
      <c r="F11" s="133" t="s">
        <v>277</v>
      </c>
      <c r="G11" s="152" t="s">
        <v>300</v>
      </c>
      <c r="H11" s="190"/>
    </row>
    <row r="12" spans="2:8" ht="25.2">
      <c r="B12" s="341"/>
      <c r="C12" s="161" t="s">
        <v>207</v>
      </c>
      <c r="D12" s="135" t="s">
        <v>253</v>
      </c>
      <c r="E12" s="471"/>
      <c r="F12" s="174" t="s">
        <v>295</v>
      </c>
      <c r="G12" s="152" t="s">
        <v>206</v>
      </c>
      <c r="H12" s="190"/>
    </row>
    <row r="13" spans="2:8">
      <c r="B13" s="340" t="s">
        <v>208</v>
      </c>
      <c r="C13" s="162" t="s">
        <v>209</v>
      </c>
      <c r="D13" s="156"/>
      <c r="E13" s="471"/>
      <c r="F13" s="133"/>
      <c r="G13" s="152"/>
      <c r="H13" s="190"/>
    </row>
    <row r="14" spans="2:8">
      <c r="B14" s="341"/>
      <c r="C14" s="163" t="s">
        <v>210</v>
      </c>
      <c r="D14" s="157"/>
      <c r="E14" s="471"/>
      <c r="F14" s="133"/>
      <c r="G14" s="152"/>
      <c r="H14" s="190"/>
    </row>
    <row r="15" spans="2:8">
      <c r="B15" s="342"/>
      <c r="C15" s="164" t="s">
        <v>211</v>
      </c>
      <c r="D15" s="157"/>
      <c r="E15" s="471"/>
      <c r="F15" s="133"/>
      <c r="G15" s="152"/>
      <c r="H15" s="190"/>
    </row>
    <row r="16" spans="2:8" ht="34.799999999999997">
      <c r="B16" s="341" t="s">
        <v>212</v>
      </c>
      <c r="C16" s="165" t="s">
        <v>217</v>
      </c>
      <c r="D16" s="132" t="s">
        <v>251</v>
      </c>
      <c r="E16" s="471"/>
      <c r="F16" s="153" t="s">
        <v>281</v>
      </c>
      <c r="G16" s="153" t="s">
        <v>298</v>
      </c>
      <c r="H16" s="190" t="s">
        <v>296</v>
      </c>
    </row>
    <row r="17" spans="2:8">
      <c r="B17" s="341"/>
      <c r="C17" s="165" t="s">
        <v>213</v>
      </c>
      <c r="D17" s="133" t="s">
        <v>255</v>
      </c>
      <c r="E17" s="471"/>
      <c r="F17" s="133" t="s">
        <v>279</v>
      </c>
      <c r="G17" s="152" t="s">
        <v>297</v>
      </c>
      <c r="H17" s="190"/>
    </row>
    <row r="18" spans="2:8" ht="34.799999999999997">
      <c r="B18" s="341"/>
      <c r="C18" s="165" t="s">
        <v>214</v>
      </c>
      <c r="D18" s="133" t="s">
        <v>251</v>
      </c>
      <c r="E18" s="471"/>
      <c r="F18" s="153" t="s">
        <v>282</v>
      </c>
      <c r="G18" s="153" t="s">
        <v>297</v>
      </c>
      <c r="H18" s="190"/>
    </row>
    <row r="19" spans="2:8">
      <c r="B19" s="341"/>
      <c r="C19" s="165" t="s">
        <v>216</v>
      </c>
      <c r="D19" s="133" t="s">
        <v>256</v>
      </c>
      <c r="E19" s="471"/>
      <c r="F19" s="133" t="s">
        <v>283</v>
      </c>
      <c r="G19" s="152" t="s">
        <v>298</v>
      </c>
      <c r="H19" s="190"/>
    </row>
    <row r="20" spans="2:8">
      <c r="B20" s="341"/>
      <c r="C20" s="177" t="s">
        <v>218</v>
      </c>
      <c r="D20" s="151" t="s">
        <v>251</v>
      </c>
      <c r="E20" s="471"/>
      <c r="F20" s="154" t="s">
        <v>284</v>
      </c>
      <c r="G20" s="154" t="s">
        <v>299</v>
      </c>
      <c r="H20" s="190"/>
    </row>
    <row r="21" spans="2:8">
      <c r="B21" s="341"/>
      <c r="C21" s="175" t="s">
        <v>215</v>
      </c>
      <c r="D21" s="158" t="s">
        <v>251</v>
      </c>
      <c r="E21" s="471"/>
      <c r="F21" s="176" t="s">
        <v>280</v>
      </c>
      <c r="G21" s="152"/>
      <c r="H21" s="187"/>
    </row>
    <row r="22" spans="2:8">
      <c r="B22" s="341"/>
      <c r="C22" s="175" t="s">
        <v>219</v>
      </c>
      <c r="D22" s="158" t="s">
        <v>251</v>
      </c>
      <c r="E22" s="471"/>
      <c r="F22" s="176" t="s">
        <v>285</v>
      </c>
      <c r="G22" s="176" t="s">
        <v>307</v>
      </c>
      <c r="H22" s="190"/>
    </row>
    <row r="23" spans="2:8">
      <c r="B23" s="341"/>
      <c r="C23" s="166" t="s">
        <v>220</v>
      </c>
      <c r="D23" s="158" t="s">
        <v>251</v>
      </c>
      <c r="E23" s="471"/>
      <c r="F23" s="158" t="s">
        <v>286</v>
      </c>
      <c r="G23" s="158"/>
      <c r="H23" s="190"/>
    </row>
    <row r="24" spans="2:8">
      <c r="B24" s="341"/>
      <c r="C24" s="178" t="s">
        <v>221</v>
      </c>
      <c r="D24" s="159" t="s">
        <v>251</v>
      </c>
      <c r="E24" s="471"/>
      <c r="F24" s="159" t="s">
        <v>287</v>
      </c>
      <c r="G24" s="159"/>
      <c r="H24" s="186"/>
    </row>
    <row r="25" spans="2:8">
      <c r="B25" s="341"/>
      <c r="C25" s="166" t="s">
        <v>222</v>
      </c>
      <c r="D25" s="158"/>
      <c r="E25" s="471"/>
      <c r="F25" s="133"/>
      <c r="G25" s="152"/>
      <c r="H25" s="187"/>
    </row>
    <row r="26" spans="2:8">
      <c r="B26" s="341"/>
      <c r="C26" s="166" t="s">
        <v>223</v>
      </c>
      <c r="D26" s="158"/>
      <c r="E26" s="471"/>
      <c r="F26" s="152"/>
      <c r="G26" s="152"/>
      <c r="H26" s="190"/>
    </row>
    <row r="27" spans="2:8">
      <c r="B27" s="341"/>
      <c r="C27" s="166" t="s">
        <v>224</v>
      </c>
      <c r="D27" s="159"/>
      <c r="E27" s="471"/>
      <c r="F27" s="151"/>
      <c r="G27" s="151"/>
      <c r="H27" s="186"/>
    </row>
    <row r="28" spans="2:8">
      <c r="B28" s="340" t="s">
        <v>160</v>
      </c>
      <c r="C28" s="162" t="s">
        <v>225</v>
      </c>
      <c r="D28" s="157"/>
      <c r="E28" s="471"/>
      <c r="F28" s="133"/>
      <c r="G28" s="152"/>
      <c r="H28" s="190"/>
    </row>
    <row r="29" spans="2:8">
      <c r="B29" s="341"/>
      <c r="C29" s="161" t="s">
        <v>205</v>
      </c>
      <c r="D29" s="135" t="s">
        <v>252</v>
      </c>
      <c r="E29" s="471"/>
      <c r="F29" s="133" t="s">
        <v>276</v>
      </c>
      <c r="G29" s="152" t="s">
        <v>292</v>
      </c>
      <c r="H29" s="190"/>
    </row>
    <row r="30" spans="2:8" ht="18" thickBot="1">
      <c r="B30" s="393"/>
      <c r="C30" s="170" t="s">
        <v>206</v>
      </c>
      <c r="D30" s="171" t="s">
        <v>254</v>
      </c>
      <c r="E30" s="472"/>
      <c r="F30" s="172" t="s">
        <v>276</v>
      </c>
      <c r="G30" s="172" t="s">
        <v>301</v>
      </c>
      <c r="H30" s="193"/>
    </row>
    <row r="31" spans="2:8">
      <c r="B31" s="195"/>
      <c r="C31" s="196" t="s">
        <v>227</v>
      </c>
      <c r="D31" s="197" t="s">
        <v>257</v>
      </c>
      <c r="E31" s="477" t="s">
        <v>242</v>
      </c>
      <c r="F31" s="195" t="s">
        <v>289</v>
      </c>
      <c r="G31" s="195" t="s">
        <v>302</v>
      </c>
      <c r="H31" s="195" t="s">
        <v>303</v>
      </c>
    </row>
    <row r="32" spans="2:8" ht="34.799999999999997">
      <c r="B32" s="190"/>
      <c r="C32" s="161" t="s">
        <v>228</v>
      </c>
      <c r="D32" s="135" t="s">
        <v>258</v>
      </c>
      <c r="E32" s="469"/>
      <c r="F32" s="189" t="s">
        <v>289</v>
      </c>
      <c r="G32" s="189" t="s">
        <v>290</v>
      </c>
      <c r="H32" s="190" t="s">
        <v>304</v>
      </c>
    </row>
    <row r="33" spans="2:8">
      <c r="B33" s="190"/>
      <c r="C33" s="161" t="s">
        <v>229</v>
      </c>
      <c r="D33" s="135" t="s">
        <v>230</v>
      </c>
      <c r="E33" s="469"/>
      <c r="F33" s="190" t="s">
        <v>289</v>
      </c>
      <c r="G33" s="190" t="s">
        <v>305</v>
      </c>
      <c r="H33" s="190"/>
    </row>
    <row r="34" spans="2:8">
      <c r="B34" s="190"/>
      <c r="C34" s="161" t="s">
        <v>200</v>
      </c>
      <c r="D34" s="135" t="s">
        <v>259</v>
      </c>
      <c r="E34" s="469"/>
      <c r="F34" s="190" t="s">
        <v>289</v>
      </c>
      <c r="G34" s="190" t="s">
        <v>306</v>
      </c>
      <c r="H34" s="190"/>
    </row>
    <row r="35" spans="2:8">
      <c r="B35" s="190"/>
      <c r="C35" s="161" t="s">
        <v>311</v>
      </c>
      <c r="D35" s="135" t="s">
        <v>260</v>
      </c>
      <c r="E35" s="469"/>
      <c r="F35" s="190" t="s">
        <v>289</v>
      </c>
      <c r="G35" s="190"/>
      <c r="H35" s="190"/>
    </row>
    <row r="36" spans="2:8">
      <c r="B36" s="190"/>
      <c r="C36" s="168" t="s">
        <v>261</v>
      </c>
      <c r="D36" s="157" t="s">
        <v>262</v>
      </c>
      <c r="E36" s="469"/>
      <c r="F36" s="190" t="s">
        <v>308</v>
      </c>
      <c r="G36" s="190"/>
      <c r="H36" s="190"/>
    </row>
    <row r="37" spans="2:8">
      <c r="B37" s="190"/>
      <c r="C37" s="163" t="s">
        <v>310</v>
      </c>
      <c r="D37" s="157" t="s">
        <v>263</v>
      </c>
      <c r="E37" s="469"/>
      <c r="F37" s="190" t="s">
        <v>289</v>
      </c>
      <c r="G37" s="190" t="s">
        <v>309</v>
      </c>
      <c r="H37" s="190" t="s">
        <v>315</v>
      </c>
    </row>
    <row r="38" spans="2:8">
      <c r="B38" s="190"/>
      <c r="C38" s="168" t="s">
        <v>231</v>
      </c>
      <c r="D38" s="157"/>
      <c r="E38" s="469"/>
      <c r="F38" s="190" t="s">
        <v>289</v>
      </c>
      <c r="G38" s="190"/>
      <c r="H38" s="190"/>
    </row>
    <row r="39" spans="2:8" ht="18" thickBot="1">
      <c r="B39" s="193"/>
      <c r="C39" s="170" t="s">
        <v>232</v>
      </c>
      <c r="D39" s="171" t="s">
        <v>264</v>
      </c>
      <c r="E39" s="478"/>
      <c r="F39" s="193" t="s">
        <v>114</v>
      </c>
      <c r="G39" s="193"/>
      <c r="H39" s="193"/>
    </row>
    <row r="40" spans="2:8">
      <c r="B40" s="341" t="s">
        <v>60</v>
      </c>
      <c r="C40" s="161" t="s">
        <v>234</v>
      </c>
      <c r="D40" s="135" t="s">
        <v>270</v>
      </c>
      <c r="E40" s="469" t="s">
        <v>6</v>
      </c>
      <c r="F40" s="190" t="s">
        <v>291</v>
      </c>
      <c r="G40" s="190" t="s">
        <v>276</v>
      </c>
      <c r="H40" s="190"/>
    </row>
    <row r="41" spans="2:8">
      <c r="B41" s="341"/>
      <c r="C41" s="161" t="s">
        <v>233</v>
      </c>
      <c r="D41" s="135" t="s">
        <v>271</v>
      </c>
      <c r="E41" s="469"/>
      <c r="F41" s="129" t="s">
        <v>317</v>
      </c>
      <c r="G41" s="152" t="s">
        <v>276</v>
      </c>
      <c r="H41" s="190"/>
    </row>
    <row r="42" spans="2:8">
      <c r="B42" s="131" t="s">
        <v>4</v>
      </c>
      <c r="C42" s="169" t="s">
        <v>236</v>
      </c>
      <c r="D42" s="134" t="s">
        <v>272</v>
      </c>
      <c r="E42" s="469"/>
      <c r="F42" s="129" t="s">
        <v>313</v>
      </c>
      <c r="G42" s="152" t="s">
        <v>312</v>
      </c>
      <c r="H42" s="190" t="s">
        <v>314</v>
      </c>
    </row>
    <row r="43" spans="2:8">
      <c r="B43" s="341" t="s">
        <v>237</v>
      </c>
      <c r="C43" s="161" t="s">
        <v>234</v>
      </c>
      <c r="D43" s="135" t="s">
        <v>270</v>
      </c>
      <c r="E43" s="469"/>
      <c r="F43" s="153" t="s">
        <v>316</v>
      </c>
      <c r="G43" s="153" t="s">
        <v>331</v>
      </c>
      <c r="H43" s="190" t="s">
        <v>304</v>
      </c>
    </row>
    <row r="44" spans="2:8" ht="34.799999999999997">
      <c r="B44" s="342"/>
      <c r="C44" s="167" t="s">
        <v>238</v>
      </c>
      <c r="D44" s="136" t="s">
        <v>273</v>
      </c>
      <c r="E44" s="470"/>
      <c r="F44" s="154" t="s">
        <v>381</v>
      </c>
      <c r="G44" s="154" t="s">
        <v>332</v>
      </c>
      <c r="H44" s="201" t="s">
        <v>382</v>
      </c>
    </row>
  </sheetData>
  <mergeCells count="15">
    <mergeCell ref="H1:H2"/>
    <mergeCell ref="G1:G2"/>
    <mergeCell ref="F1:F2"/>
    <mergeCell ref="B1:D1"/>
    <mergeCell ref="E31:E39"/>
    <mergeCell ref="E1:E2"/>
    <mergeCell ref="E3:E8"/>
    <mergeCell ref="E40:E44"/>
    <mergeCell ref="B16:B27"/>
    <mergeCell ref="B28:B30"/>
    <mergeCell ref="E9:E30"/>
    <mergeCell ref="B40:B41"/>
    <mergeCell ref="B43:B44"/>
    <mergeCell ref="B9:B12"/>
    <mergeCell ref="B13:B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2:Z44"/>
  <sheetViews>
    <sheetView zoomScale="85" zoomScaleNormal="85" workbookViewId="0">
      <selection activeCell="F20" sqref="F20"/>
    </sheetView>
  </sheetViews>
  <sheetFormatPr defaultRowHeight="17.399999999999999"/>
  <cols>
    <col min="1" max="1" width="25.59765625" customWidth="1"/>
    <col min="2" max="3" width="22.19921875" bestFit="1" customWidth="1"/>
    <col min="4" max="4" width="12.3984375" bestFit="1" customWidth="1"/>
    <col min="5" max="5" width="19" bestFit="1" customWidth="1"/>
    <col min="6" max="6" width="16.69921875" bestFit="1" customWidth="1"/>
    <col min="7" max="7" width="22.19921875" bestFit="1" customWidth="1"/>
  </cols>
  <sheetData>
    <row r="2" spans="1:26">
      <c r="A2" s="199" t="s">
        <v>379</v>
      </c>
      <c r="B2" s="203"/>
    </row>
    <row r="3" spans="1:26">
      <c r="A3" s="488" t="s">
        <v>377</v>
      </c>
      <c r="B3" s="488"/>
      <c r="C3" s="488"/>
      <c r="D3" s="488"/>
      <c r="E3" s="488"/>
      <c r="F3" s="498"/>
      <c r="G3" s="498"/>
    </row>
    <row r="4" spans="1:26">
      <c r="A4" s="488"/>
      <c r="B4" s="488"/>
      <c r="C4" s="488"/>
      <c r="D4" s="488"/>
      <c r="E4" s="488"/>
      <c r="F4" s="498"/>
      <c r="G4" s="498"/>
    </row>
    <row r="5" spans="1:26">
      <c r="A5" s="490" t="s">
        <v>376</v>
      </c>
      <c r="B5" s="490"/>
      <c r="C5" s="490"/>
      <c r="D5" s="485" t="s">
        <v>375</v>
      </c>
      <c r="E5" s="486" t="s">
        <v>279</v>
      </c>
      <c r="F5" s="489" t="s">
        <v>373</v>
      </c>
      <c r="J5" s="203"/>
    </row>
    <row r="6" spans="1:26" ht="31.8" customHeight="1">
      <c r="A6" s="490"/>
      <c r="B6" s="490"/>
      <c r="C6" s="490"/>
      <c r="D6" s="485"/>
      <c r="E6" s="486"/>
      <c r="F6" s="489"/>
      <c r="O6" s="499" t="s">
        <v>608</v>
      </c>
      <c r="P6" s="499" t="s">
        <v>609</v>
      </c>
      <c r="Q6" s="499" t="s">
        <v>610</v>
      </c>
      <c r="R6" s="499" t="s">
        <v>611</v>
      </c>
      <c r="S6" s="499" t="s">
        <v>612</v>
      </c>
      <c r="T6" s="499" t="s">
        <v>613</v>
      </c>
      <c r="U6" s="499" t="s">
        <v>614</v>
      </c>
      <c r="V6" s="499" t="s">
        <v>615</v>
      </c>
      <c r="W6" s="499" t="s">
        <v>616</v>
      </c>
      <c r="X6" s="499" t="s">
        <v>617</v>
      </c>
      <c r="Y6" s="500" t="s">
        <v>618</v>
      </c>
      <c r="Z6" s="501" t="s">
        <v>619</v>
      </c>
    </row>
    <row r="7" spans="1:26">
      <c r="L7" s="502" t="s">
        <v>620</v>
      </c>
      <c r="M7" s="502" t="s">
        <v>621</v>
      </c>
      <c r="N7" s="502">
        <v>5</v>
      </c>
      <c r="O7" s="502">
        <v>42638.027199999997</v>
      </c>
      <c r="P7" s="502">
        <v>19316.177100000001</v>
      </c>
      <c r="Q7" s="503">
        <v>0.45302699070000002</v>
      </c>
      <c r="R7" s="502">
        <v>9711.9493999999995</v>
      </c>
      <c r="S7" s="504">
        <v>0.22777670659999999</v>
      </c>
      <c r="T7" s="505">
        <v>0.88219999999999998</v>
      </c>
      <c r="U7" s="505">
        <v>0.96009999999999995</v>
      </c>
      <c r="V7" s="505">
        <v>0.95779999999999998</v>
      </c>
      <c r="W7" s="505">
        <v>3.3300000000000003E-2</v>
      </c>
      <c r="X7" s="505">
        <v>0.9</v>
      </c>
      <c r="Y7" s="503">
        <v>0.91700000000000004</v>
      </c>
      <c r="Z7" s="505">
        <v>0</v>
      </c>
    </row>
    <row r="8" spans="1:26">
      <c r="L8" s="502" t="s">
        <v>620</v>
      </c>
      <c r="M8" s="502" t="s">
        <v>622</v>
      </c>
      <c r="N8" s="502">
        <v>5</v>
      </c>
      <c r="O8" s="502">
        <v>7181.6558000000005</v>
      </c>
      <c r="P8" s="502">
        <v>3976.4803000000002</v>
      </c>
      <c r="Q8" s="503">
        <v>0.55369965529999998</v>
      </c>
      <c r="R8" s="502">
        <v>2106.4312</v>
      </c>
      <c r="S8" s="504">
        <v>0.29330718449999998</v>
      </c>
      <c r="T8" s="505">
        <v>0.89559999999999995</v>
      </c>
      <c r="U8" s="505">
        <v>0.9304</v>
      </c>
      <c r="V8" s="505">
        <v>0.90300000000000002</v>
      </c>
      <c r="W8" s="505">
        <v>3.7199999999999997E-2</v>
      </c>
      <c r="X8" s="505">
        <v>0.92679999999999996</v>
      </c>
      <c r="Y8" s="503">
        <v>1.1509</v>
      </c>
      <c r="Z8" s="505">
        <v>0</v>
      </c>
    </row>
    <row r="9" spans="1:26">
      <c r="L9" s="502" t="s">
        <v>620</v>
      </c>
      <c r="M9" s="502" t="s">
        <v>623</v>
      </c>
      <c r="N9" s="502">
        <v>5</v>
      </c>
      <c r="O9" s="502">
        <v>26777.7281</v>
      </c>
      <c r="P9" s="502">
        <v>12939.7691</v>
      </c>
      <c r="Q9" s="503">
        <v>0.48322879010000003</v>
      </c>
      <c r="R9" s="502">
        <v>5904.5088999999998</v>
      </c>
      <c r="S9" s="504">
        <v>0.22050074350000001</v>
      </c>
      <c r="T9" s="505">
        <v>0.86040000000000005</v>
      </c>
      <c r="U9" s="505">
        <v>0.98150000000000004</v>
      </c>
      <c r="V9" s="505">
        <v>0.97170000000000001</v>
      </c>
      <c r="W9" s="505">
        <v>3.4700000000000002E-2</v>
      </c>
      <c r="X9" s="505">
        <v>0.91400000000000003</v>
      </c>
      <c r="Y9" s="503">
        <v>0.98140000000000005</v>
      </c>
      <c r="Z9" s="505">
        <v>0</v>
      </c>
    </row>
    <row r="10" spans="1:26">
      <c r="A10" s="199" t="s">
        <v>380</v>
      </c>
      <c r="B10" s="199"/>
      <c r="L10" s="502" t="s">
        <v>620</v>
      </c>
      <c r="M10" s="502" t="s">
        <v>624</v>
      </c>
      <c r="N10" s="502">
        <v>5</v>
      </c>
      <c r="O10" s="502">
        <v>35873.063999999998</v>
      </c>
      <c r="P10" s="502">
        <v>7945.1611999999996</v>
      </c>
      <c r="Q10" s="503">
        <v>0.22147986210000001</v>
      </c>
      <c r="R10" s="502">
        <v>4016.4220999999998</v>
      </c>
      <c r="S10" s="504">
        <v>0.1119620591</v>
      </c>
      <c r="T10" s="505">
        <v>0.86909999999999998</v>
      </c>
      <c r="U10" s="505">
        <v>0.98070000000000002</v>
      </c>
      <c r="V10" s="505">
        <v>0.9748</v>
      </c>
      <c r="W10" s="505">
        <v>3.3099999999999997E-2</v>
      </c>
      <c r="X10" s="505">
        <v>0.96609999999999996</v>
      </c>
      <c r="Y10" s="503">
        <v>1.1794</v>
      </c>
      <c r="Z10" s="505">
        <v>0</v>
      </c>
    </row>
    <row r="11" spans="1:26">
      <c r="A11" s="488" t="s">
        <v>378</v>
      </c>
      <c r="B11" s="488"/>
      <c r="C11" s="488"/>
      <c r="D11" s="488"/>
      <c r="E11" s="488"/>
      <c r="F11" s="488"/>
      <c r="G11" s="488"/>
      <c r="L11" s="502" t="s">
        <v>620</v>
      </c>
      <c r="M11" s="502" t="s">
        <v>625</v>
      </c>
      <c r="N11" s="502">
        <v>5</v>
      </c>
      <c r="O11" s="502">
        <v>5411.6490999999996</v>
      </c>
      <c r="P11" s="502">
        <v>1743.3764000000001</v>
      </c>
      <c r="Q11" s="503">
        <v>0.3221525267</v>
      </c>
      <c r="R11" s="502">
        <v>1044.1606999999999</v>
      </c>
      <c r="S11" s="504">
        <v>0.19294686659999999</v>
      </c>
      <c r="T11" s="505">
        <v>0.86860000000000004</v>
      </c>
      <c r="U11" s="505">
        <v>0.95199999999999996</v>
      </c>
      <c r="V11" s="505">
        <v>0.94910000000000005</v>
      </c>
      <c r="W11" s="505">
        <v>3.4000000000000002E-2</v>
      </c>
      <c r="X11" s="505">
        <v>0.97409999999999997</v>
      </c>
      <c r="Y11" s="503">
        <v>1.6309</v>
      </c>
      <c r="Z11" s="505">
        <v>0</v>
      </c>
    </row>
    <row r="12" spans="1:26" ht="18" thickBot="1">
      <c r="A12" s="488"/>
      <c r="B12" s="488"/>
      <c r="C12" s="488"/>
      <c r="D12" s="488"/>
      <c r="E12" s="488"/>
      <c r="F12" s="488"/>
      <c r="G12" s="488"/>
      <c r="L12" s="506" t="s">
        <v>620</v>
      </c>
      <c r="M12" s="506" t="s">
        <v>626</v>
      </c>
      <c r="N12" s="506">
        <v>5</v>
      </c>
      <c r="O12" s="506">
        <v>15539.2099</v>
      </c>
      <c r="P12" s="506">
        <v>3910.9340999999999</v>
      </c>
      <c r="Q12" s="507">
        <v>0.25168166149999999</v>
      </c>
      <c r="R12" s="506">
        <v>1978.7772</v>
      </c>
      <c r="S12" s="508">
        <v>0.12734091780000001</v>
      </c>
      <c r="T12" s="509">
        <v>0.86119999999999997</v>
      </c>
      <c r="U12" s="509">
        <v>0.97709999999999997</v>
      </c>
      <c r="V12" s="509">
        <v>0.97199999999999998</v>
      </c>
      <c r="W12" s="509">
        <v>3.4700000000000002E-2</v>
      </c>
      <c r="X12" s="509">
        <v>0.97499999999999998</v>
      </c>
      <c r="Y12" s="507">
        <v>1.3099000000000001</v>
      </c>
      <c r="Z12" s="509">
        <v>0</v>
      </c>
    </row>
    <row r="13" spans="1:26">
      <c r="A13" s="490" t="s">
        <v>376</v>
      </c>
      <c r="B13" s="490"/>
      <c r="C13" s="490"/>
      <c r="D13" s="485" t="s">
        <v>375</v>
      </c>
      <c r="E13" s="486" t="s">
        <v>279</v>
      </c>
      <c r="F13" s="487" t="s">
        <v>374</v>
      </c>
      <c r="G13" s="487"/>
      <c r="H13" s="498"/>
      <c r="L13" s="502" t="s">
        <v>627</v>
      </c>
      <c r="M13" s="502" t="s">
        <v>621</v>
      </c>
      <c r="N13" s="502">
        <v>5</v>
      </c>
      <c r="O13" s="502">
        <v>24756.393599999999</v>
      </c>
      <c r="P13" s="502">
        <v>10721.277</v>
      </c>
      <c r="Q13" s="503">
        <v>0.4330710358</v>
      </c>
      <c r="R13" s="502">
        <v>5144.8923000000004</v>
      </c>
      <c r="S13" s="504">
        <v>0.20782075159999999</v>
      </c>
      <c r="T13" s="505">
        <v>0.88229999999999997</v>
      </c>
      <c r="U13" s="505">
        <v>0.96740000000000004</v>
      </c>
      <c r="V13" s="505">
        <v>0.96040000000000003</v>
      </c>
      <c r="W13" s="505">
        <v>2.9399999999999999E-2</v>
      </c>
      <c r="X13" s="505">
        <v>0.9</v>
      </c>
      <c r="Y13" s="503">
        <v>0.90600000000000003</v>
      </c>
      <c r="Z13" s="505">
        <v>0</v>
      </c>
    </row>
    <row r="14" spans="1:26">
      <c r="A14" s="490"/>
      <c r="B14" s="490"/>
      <c r="C14" s="490"/>
      <c r="D14" s="485"/>
      <c r="E14" s="486"/>
      <c r="F14" s="487"/>
      <c r="G14" s="487"/>
      <c r="H14" s="498"/>
      <c r="L14" s="502" t="s">
        <v>627</v>
      </c>
      <c r="M14" s="502" t="s">
        <v>622</v>
      </c>
      <c r="N14" s="502">
        <v>5</v>
      </c>
      <c r="O14" s="502">
        <v>4179.1117999999997</v>
      </c>
      <c r="P14" s="502">
        <v>2212.0416</v>
      </c>
      <c r="Q14" s="503">
        <v>0.52930904369999998</v>
      </c>
      <c r="R14" s="502">
        <v>1123.8324</v>
      </c>
      <c r="S14" s="504">
        <v>0.26891657279999998</v>
      </c>
      <c r="T14" s="505">
        <v>0.89319999999999999</v>
      </c>
      <c r="U14" s="505">
        <v>0.94430000000000003</v>
      </c>
      <c r="V14" s="505">
        <v>0.93049999999999999</v>
      </c>
      <c r="W14" s="505">
        <v>3.6299999999999999E-2</v>
      </c>
      <c r="X14" s="505">
        <v>0.95489999999999997</v>
      </c>
      <c r="Y14" s="503">
        <v>1.1398999999999999</v>
      </c>
      <c r="Z14" s="505">
        <v>0</v>
      </c>
    </row>
    <row r="15" spans="1:26">
      <c r="L15" s="502" t="s">
        <v>627</v>
      </c>
      <c r="M15" s="502" t="s">
        <v>623</v>
      </c>
      <c r="N15" s="502">
        <v>5</v>
      </c>
      <c r="O15" s="502">
        <v>15384.8248</v>
      </c>
      <c r="P15" s="502">
        <v>7106.9034000000001</v>
      </c>
      <c r="Q15" s="503">
        <v>0.46194243820000003</v>
      </c>
      <c r="R15" s="502">
        <v>3064.8784999999998</v>
      </c>
      <c r="S15" s="504">
        <v>0.1992143915</v>
      </c>
      <c r="T15" s="505">
        <v>0.86070000000000002</v>
      </c>
      <c r="U15" s="505">
        <v>0.97629999999999995</v>
      </c>
      <c r="V15" s="505">
        <v>0.9748</v>
      </c>
      <c r="W15" s="505">
        <v>3.32E-2</v>
      </c>
      <c r="X15" s="505">
        <v>0.90710000000000002</v>
      </c>
      <c r="Y15" s="503">
        <v>0.97040000000000004</v>
      </c>
      <c r="Z15" s="505">
        <v>0</v>
      </c>
    </row>
    <row r="16" spans="1:26">
      <c r="L16" s="502" t="s">
        <v>627</v>
      </c>
      <c r="M16" s="502" t="s">
        <v>624</v>
      </c>
      <c r="N16" s="502">
        <v>5</v>
      </c>
      <c r="O16" s="502">
        <v>11934.8716</v>
      </c>
      <c r="P16" s="502">
        <v>2526.8942000000002</v>
      </c>
      <c r="Q16" s="503">
        <v>0.21172361749999999</v>
      </c>
      <c r="R16" s="502">
        <v>1219.8132000000001</v>
      </c>
      <c r="S16" s="504">
        <v>0.10220581450000001</v>
      </c>
      <c r="T16" s="505">
        <v>0.86329999999999996</v>
      </c>
      <c r="U16" s="505">
        <v>0.98209999999999997</v>
      </c>
      <c r="V16" s="505">
        <v>0.97860000000000003</v>
      </c>
      <c r="W16" s="505">
        <v>3.5299999999999998E-2</v>
      </c>
      <c r="X16" s="505">
        <v>0.97499999999999998</v>
      </c>
      <c r="Y16" s="503">
        <v>1.1676</v>
      </c>
      <c r="Z16" s="505">
        <v>0</v>
      </c>
    </row>
    <row r="17" spans="1:26">
      <c r="L17" s="502" t="s">
        <v>627</v>
      </c>
      <c r="M17" s="502" t="s">
        <v>625</v>
      </c>
      <c r="N17" s="502">
        <v>5</v>
      </c>
      <c r="O17" s="502">
        <v>1817.5942</v>
      </c>
      <c r="P17" s="502">
        <v>559.74919999999997</v>
      </c>
      <c r="Q17" s="503">
        <v>0.30796162539999999</v>
      </c>
      <c r="R17" s="502">
        <v>324.9058</v>
      </c>
      <c r="S17" s="504">
        <v>0.17875596530000001</v>
      </c>
      <c r="T17" s="505">
        <v>0.86170000000000002</v>
      </c>
      <c r="U17" s="505">
        <v>0.96640000000000004</v>
      </c>
      <c r="V17" s="505">
        <v>0.95820000000000005</v>
      </c>
      <c r="W17" s="505">
        <v>7.2999999999999995E-2</v>
      </c>
      <c r="X17" s="505">
        <v>0.97499999999999998</v>
      </c>
      <c r="Y17" s="503">
        <v>1.6191</v>
      </c>
      <c r="Z17" s="505">
        <v>0</v>
      </c>
    </row>
    <row r="18" spans="1:26" ht="18" thickBot="1">
      <c r="L18" s="506" t="s">
        <v>627</v>
      </c>
      <c r="M18" s="506" t="s">
        <v>626</v>
      </c>
      <c r="N18" s="506">
        <v>5</v>
      </c>
      <c r="O18" s="506">
        <v>5131.7473</v>
      </c>
      <c r="P18" s="506">
        <v>1234.6728000000001</v>
      </c>
      <c r="Q18" s="507">
        <v>0.24059501990000001</v>
      </c>
      <c r="R18" s="506">
        <v>596.58749999999998</v>
      </c>
      <c r="S18" s="508">
        <v>0.1162542761</v>
      </c>
      <c r="T18" s="509">
        <v>0.85629999999999995</v>
      </c>
      <c r="U18" s="509">
        <v>0.98550000000000004</v>
      </c>
      <c r="V18" s="509">
        <v>0.98219999999999996</v>
      </c>
      <c r="W18" s="509">
        <v>3.6499999999999998E-2</v>
      </c>
      <c r="X18" s="509">
        <v>0.97499999999999998</v>
      </c>
      <c r="Y18" s="507">
        <v>1.2981</v>
      </c>
      <c r="Z18" s="509">
        <v>0</v>
      </c>
    </row>
    <row r="19" spans="1:26">
      <c r="L19" s="502" t="s">
        <v>628</v>
      </c>
      <c r="M19" s="502" t="s">
        <v>624</v>
      </c>
      <c r="N19" s="502">
        <v>5</v>
      </c>
      <c r="O19" s="502">
        <v>70275.920499999993</v>
      </c>
      <c r="P19" s="502">
        <v>15811.791999999999</v>
      </c>
      <c r="Q19" s="503">
        <v>0.2249958725</v>
      </c>
      <c r="R19" s="502">
        <v>8115.3275999999996</v>
      </c>
      <c r="S19" s="504">
        <v>0.1154780695</v>
      </c>
      <c r="T19" s="505">
        <v>0.87809999999999999</v>
      </c>
      <c r="U19" s="505">
        <v>0.98099999999999998</v>
      </c>
      <c r="V19" s="505">
        <v>0.97030000000000005</v>
      </c>
      <c r="W19" s="505">
        <v>1.7500000000000002E-2</v>
      </c>
      <c r="X19" s="505">
        <v>0.98099999999999998</v>
      </c>
      <c r="Y19" s="503">
        <v>1.1858</v>
      </c>
      <c r="Z19" s="505">
        <v>0</v>
      </c>
    </row>
    <row r="20" spans="1:26">
      <c r="A20" s="199" t="s">
        <v>629</v>
      </c>
      <c r="L20" s="502" t="s">
        <v>628</v>
      </c>
      <c r="M20" s="502" t="s">
        <v>625</v>
      </c>
      <c r="N20" s="502">
        <v>5</v>
      </c>
      <c r="O20" s="502">
        <v>10511.582200000001</v>
      </c>
      <c r="P20" s="502">
        <v>3440.0909999999999</v>
      </c>
      <c r="Q20" s="503">
        <v>0.32726672369999998</v>
      </c>
      <c r="R20" s="502">
        <v>2081.9351000000001</v>
      </c>
      <c r="S20" s="504">
        <v>0.1980610636</v>
      </c>
      <c r="T20" s="505">
        <v>0.87580000000000002</v>
      </c>
      <c r="U20" s="505">
        <v>0.94159999999999999</v>
      </c>
      <c r="V20" s="505">
        <v>0.91410000000000002</v>
      </c>
      <c r="W20" s="505">
        <v>1.7399999999999999E-2</v>
      </c>
      <c r="X20" s="505">
        <v>0.95740000000000003</v>
      </c>
      <c r="Y20" s="503">
        <v>1.6374</v>
      </c>
      <c r="Z20" s="505">
        <v>0</v>
      </c>
    </row>
    <row r="21" spans="1:26">
      <c r="A21" s="491" t="s">
        <v>630</v>
      </c>
      <c r="B21" t="s">
        <v>631</v>
      </c>
      <c r="C21" t="s">
        <v>632</v>
      </c>
      <c r="L21" s="502" t="s">
        <v>628</v>
      </c>
      <c r="M21" s="502" t="s">
        <v>626</v>
      </c>
      <c r="N21" s="502">
        <v>5</v>
      </c>
      <c r="O21" s="502">
        <v>30369.828099999999</v>
      </c>
      <c r="P21" s="502">
        <v>7764.8703999999998</v>
      </c>
      <c r="Q21" s="503">
        <v>0.25567712790000002</v>
      </c>
      <c r="R21" s="502">
        <v>3988.6633999999999</v>
      </c>
      <c r="S21" s="504">
        <v>0.13133638419999999</v>
      </c>
      <c r="T21" s="505">
        <v>0.87280000000000002</v>
      </c>
      <c r="U21" s="505">
        <v>0.97389999999999999</v>
      </c>
      <c r="V21" s="505">
        <v>0.96879999999999999</v>
      </c>
      <c r="W21" s="505">
        <v>1.7999999999999999E-2</v>
      </c>
      <c r="X21" s="505">
        <v>0.99170000000000003</v>
      </c>
      <c r="Y21" s="503">
        <v>1.3163</v>
      </c>
      <c r="Z21" s="505">
        <v>0</v>
      </c>
    </row>
    <row r="22" spans="1:26">
      <c r="A22" s="491"/>
      <c r="B22" t="s">
        <v>633</v>
      </c>
      <c r="C22" t="s">
        <v>634</v>
      </c>
      <c r="I22" s="223"/>
      <c r="J22" s="223"/>
    </row>
    <row r="23" spans="1:26">
      <c r="A23" s="491"/>
      <c r="B23" s="222">
        <v>0.3</v>
      </c>
      <c r="C23" s="222">
        <v>0.5</v>
      </c>
    </row>
    <row r="24" spans="1:26">
      <c r="A24" t="s">
        <v>635</v>
      </c>
      <c r="B24" t="s">
        <v>636</v>
      </c>
      <c r="C24" t="s">
        <v>637</v>
      </c>
    </row>
    <row r="25" spans="1:26">
      <c r="A25" t="s">
        <v>638</v>
      </c>
      <c r="B25">
        <v>3</v>
      </c>
      <c r="C25">
        <v>2</v>
      </c>
      <c r="D25" s="491" t="s">
        <v>639</v>
      </c>
      <c r="E25" s="491"/>
      <c r="F25" s="491"/>
      <c r="G25" s="491"/>
    </row>
    <row r="28" spans="1:26">
      <c r="A28" s="199" t="s">
        <v>640</v>
      </c>
    </row>
    <row r="29" spans="1:26">
      <c r="E29" s="510" t="s">
        <v>641</v>
      </c>
      <c r="F29" s="511" t="s">
        <v>642</v>
      </c>
      <c r="G29" s="512" t="s">
        <v>643</v>
      </c>
      <c r="H29" s="512"/>
      <c r="I29" s="512" t="s">
        <v>644</v>
      </c>
      <c r="J29" s="512"/>
      <c r="L29" s="513" t="s">
        <v>645</v>
      </c>
      <c r="M29" s="513"/>
      <c r="N29" s="514" t="s">
        <v>425</v>
      </c>
      <c r="O29" s="514"/>
    </row>
    <row r="30" spans="1:26">
      <c r="A30" s="25" t="s">
        <v>646</v>
      </c>
      <c r="B30" s="25" t="s">
        <v>647</v>
      </c>
      <c r="C30" s="25" t="s">
        <v>648</v>
      </c>
      <c r="D30" s="25" t="s">
        <v>649</v>
      </c>
      <c r="E30" s="25" t="s">
        <v>650</v>
      </c>
      <c r="F30" s="25" t="s">
        <v>651</v>
      </c>
      <c r="G30" s="25" t="s">
        <v>652</v>
      </c>
      <c r="H30" s="25" t="s">
        <v>653</v>
      </c>
      <c r="I30" s="25" t="s">
        <v>652</v>
      </c>
      <c r="J30" s="25" t="s">
        <v>653</v>
      </c>
      <c r="L30" s="515" t="s">
        <v>654</v>
      </c>
      <c r="M30" s="516">
        <f>I37</f>
        <v>383.45099296833331</v>
      </c>
      <c r="N30" s="26" t="s">
        <v>654</v>
      </c>
      <c r="O30" s="517">
        <f>J37</f>
        <v>230.07059578099995</v>
      </c>
    </row>
    <row r="31" spans="1:26">
      <c r="A31" s="25" t="s">
        <v>655</v>
      </c>
      <c r="B31" s="518">
        <f>O7+O13</f>
        <v>67394.420799999993</v>
      </c>
      <c r="C31" s="519">
        <f>B31</f>
        <v>67394.420799999993</v>
      </c>
      <c r="D31" s="25">
        <v>7</v>
      </c>
      <c r="E31" s="520">
        <f t="shared" ref="E31:E36" si="0">130/D31</f>
        <v>18.571428571428573</v>
      </c>
      <c r="F31" s="520">
        <f>B31/5*D31</f>
        <v>94352.189119999981</v>
      </c>
      <c r="G31" s="520">
        <f>F31/C44</f>
        <v>7.8626824266666651</v>
      </c>
      <c r="H31" s="520">
        <f>F31/C43</f>
        <v>4.717609455999999</v>
      </c>
      <c r="I31" s="520">
        <f t="shared" ref="I31:I36" si="1">G31*E31</f>
        <v>146.02124506666664</v>
      </c>
      <c r="J31" s="520">
        <f t="shared" ref="J31:J36" si="2">H31*E31</f>
        <v>87.612747039999988</v>
      </c>
      <c r="L31" s="515" t="s">
        <v>376</v>
      </c>
      <c r="M31" s="515">
        <f>M30*2</f>
        <v>766.90198593666662</v>
      </c>
      <c r="N31" s="26" t="s">
        <v>376</v>
      </c>
      <c r="O31" s="26">
        <f>O30*2</f>
        <v>460.1411915619999</v>
      </c>
    </row>
    <row r="32" spans="1:26">
      <c r="A32" s="25" t="s">
        <v>656</v>
      </c>
      <c r="B32" s="518">
        <f>O8+O14</f>
        <v>11360.767599999999</v>
      </c>
      <c r="C32" s="519">
        <f>B32</f>
        <v>11360.767599999999</v>
      </c>
      <c r="D32" s="25">
        <v>7</v>
      </c>
      <c r="E32" s="520">
        <f t="shared" si="0"/>
        <v>18.571428571428573</v>
      </c>
      <c r="F32" s="520">
        <f>B32/5*D32</f>
        <v>15905.074639999999</v>
      </c>
      <c r="G32" s="520">
        <f>F32/C44</f>
        <v>1.3254228866666666</v>
      </c>
      <c r="H32" s="520">
        <f>F32/C43</f>
        <v>0.79525373199999994</v>
      </c>
      <c r="I32" s="520">
        <f t="shared" si="1"/>
        <v>24.614996466666668</v>
      </c>
      <c r="J32" s="520">
        <f t="shared" si="2"/>
        <v>14.768997880000001</v>
      </c>
      <c r="L32" s="515" t="s">
        <v>657</v>
      </c>
      <c r="M32" s="515">
        <f>M31*E44</f>
        <v>103531.76810145</v>
      </c>
      <c r="N32" s="26" t="s">
        <v>657</v>
      </c>
      <c r="O32" s="26">
        <f>O31*E43</f>
        <v>73622.590649919992</v>
      </c>
    </row>
    <row r="33" spans="1:19">
      <c r="A33" s="25" t="s">
        <v>658</v>
      </c>
      <c r="B33" s="518">
        <f>O9+O15</f>
        <v>42162.552900000002</v>
      </c>
      <c r="C33" s="519">
        <f>B33</f>
        <v>42162.552900000002</v>
      </c>
      <c r="D33" s="25">
        <v>8</v>
      </c>
      <c r="E33" s="520">
        <f t="shared" si="0"/>
        <v>16.25</v>
      </c>
      <c r="F33" s="520">
        <f>B33/5*D33</f>
        <v>67460.084640000001</v>
      </c>
      <c r="G33" s="520">
        <f>F33/C44</f>
        <v>5.6216737200000004</v>
      </c>
      <c r="H33" s="520">
        <f>F33/C43</f>
        <v>3.373004232</v>
      </c>
      <c r="I33" s="520">
        <f t="shared" si="1"/>
        <v>91.352197950000004</v>
      </c>
      <c r="J33" s="520">
        <f t="shared" si="2"/>
        <v>54.81131877</v>
      </c>
      <c r="L33" s="515" t="s">
        <v>659</v>
      </c>
      <c r="M33" s="521">
        <f>D44</f>
        <v>62500</v>
      </c>
      <c r="N33" s="26" t="s">
        <v>659</v>
      </c>
      <c r="O33" s="522">
        <f>D43</f>
        <v>75000</v>
      </c>
    </row>
    <row r="34" spans="1:19">
      <c r="A34" s="25" t="s">
        <v>660</v>
      </c>
      <c r="B34" s="518">
        <f>O10+O16+O19</f>
        <v>118083.85609999999</v>
      </c>
      <c r="C34" s="519">
        <f>B34*0.3</f>
        <v>35425.156829999993</v>
      </c>
      <c r="D34" s="25">
        <v>8</v>
      </c>
      <c r="E34" s="520">
        <f t="shared" si="0"/>
        <v>16.25</v>
      </c>
      <c r="F34" s="520">
        <f>C34/5*D34</f>
        <v>56680.250927999987</v>
      </c>
      <c r="G34" s="520">
        <f>F34/C44</f>
        <v>4.7233542439999985</v>
      </c>
      <c r="H34" s="520">
        <f>F34/C43</f>
        <v>2.8340125463999994</v>
      </c>
      <c r="I34" s="520">
        <f t="shared" si="1"/>
        <v>76.754506464999977</v>
      </c>
      <c r="J34" s="520">
        <f t="shared" si="2"/>
        <v>46.052703878999992</v>
      </c>
      <c r="L34" s="515" t="s">
        <v>661</v>
      </c>
      <c r="M34" s="521">
        <f>M32+M33</f>
        <v>166031.76810145</v>
      </c>
      <c r="N34" s="26" t="s">
        <v>661</v>
      </c>
      <c r="O34" s="522">
        <f>O32+O33</f>
        <v>148622.59064991999</v>
      </c>
    </row>
    <row r="35" spans="1:19">
      <c r="A35" s="25" t="s">
        <v>662</v>
      </c>
      <c r="B35" s="518">
        <f>O11+O17+O20</f>
        <v>17740.825499999999</v>
      </c>
      <c r="C35" s="519">
        <f>B35*0.3</f>
        <v>5322.2476499999993</v>
      </c>
      <c r="D35" s="25">
        <v>9</v>
      </c>
      <c r="E35" s="520">
        <f t="shared" si="0"/>
        <v>14.444444444444445</v>
      </c>
      <c r="F35" s="520">
        <f>C35/5*D35</f>
        <v>9580.0457699999988</v>
      </c>
      <c r="G35" s="520">
        <f>F35/C44</f>
        <v>0.79833714749999996</v>
      </c>
      <c r="H35" s="520">
        <f>F35/C43</f>
        <v>0.47900228849999993</v>
      </c>
      <c r="I35" s="520">
        <f t="shared" si="1"/>
        <v>11.531536574999999</v>
      </c>
      <c r="J35" s="520">
        <f t="shared" si="2"/>
        <v>6.9189219449999992</v>
      </c>
      <c r="L35" s="515" t="s">
        <v>663</v>
      </c>
      <c r="M35" s="521">
        <v>312500</v>
      </c>
      <c r="N35" s="26" t="s">
        <v>663</v>
      </c>
      <c r="O35" s="26">
        <v>375000</v>
      </c>
    </row>
    <row r="36" spans="1:19">
      <c r="A36" s="25" t="s">
        <v>664</v>
      </c>
      <c r="B36" s="518">
        <f>O12+O18+O21</f>
        <v>51040.785300000003</v>
      </c>
      <c r="C36" s="519">
        <f>B36*0.3</f>
        <v>15312.23559</v>
      </c>
      <c r="D36" s="25">
        <v>10</v>
      </c>
      <c r="E36" s="520">
        <f t="shared" si="0"/>
        <v>13</v>
      </c>
      <c r="F36" s="520">
        <f>C36/5*D36</f>
        <v>30624.47118</v>
      </c>
      <c r="G36" s="520">
        <f>F36/C44</f>
        <v>2.5520392649999999</v>
      </c>
      <c r="H36" s="520">
        <f>F36/C43</f>
        <v>1.5312235590000001</v>
      </c>
      <c r="I36" s="520">
        <f t="shared" si="1"/>
        <v>33.176510444999998</v>
      </c>
      <c r="J36" s="520">
        <f t="shared" si="2"/>
        <v>19.905906267000002</v>
      </c>
      <c r="L36" s="25"/>
      <c r="M36" s="25"/>
      <c r="N36" s="523" t="s">
        <v>665</v>
      </c>
      <c r="O36" s="524">
        <f>M34-O34</f>
        <v>17409.177451530006</v>
      </c>
    </row>
    <row r="37" spans="1:19">
      <c r="A37" s="25" t="s">
        <v>666</v>
      </c>
      <c r="B37" s="25"/>
      <c r="C37" s="519">
        <f>SUM(C31:C36)</f>
        <v>176977.38136999999</v>
      </c>
      <c r="D37" s="25"/>
      <c r="E37" s="25"/>
      <c r="F37" s="25"/>
      <c r="G37" s="25"/>
      <c r="H37" s="25"/>
      <c r="I37" s="520">
        <f>SUM(I31:I36)</f>
        <v>383.45099296833331</v>
      </c>
      <c r="J37" s="520">
        <f>SUM(J31:J36)</f>
        <v>230.07059578099995</v>
      </c>
    </row>
    <row r="39" spans="1:19">
      <c r="L39" s="25" t="s">
        <v>667</v>
      </c>
      <c r="M39" s="25">
        <v>216243</v>
      </c>
      <c r="N39" s="25"/>
      <c r="O39" s="25" t="s">
        <v>668</v>
      </c>
      <c r="P39" s="25">
        <v>3891633</v>
      </c>
      <c r="Q39" s="25"/>
      <c r="R39" s="25" t="s">
        <v>669</v>
      </c>
      <c r="S39" s="25">
        <f>M39/P39</f>
        <v>5.5566133805525858E-2</v>
      </c>
    </row>
    <row r="40" spans="1:19">
      <c r="L40" s="324" t="s">
        <v>670</v>
      </c>
      <c r="M40" s="325">
        <f>M39+O36</f>
        <v>233652.17745153001</v>
      </c>
      <c r="N40" s="324"/>
      <c r="O40" s="324" t="s">
        <v>671</v>
      </c>
      <c r="P40" s="324">
        <f>P39+62500</f>
        <v>3954133</v>
      </c>
      <c r="Q40" s="324"/>
      <c r="R40" s="324" t="s">
        <v>672</v>
      </c>
      <c r="S40" s="324">
        <f>M40/P40</f>
        <v>5.9090621749832394E-2</v>
      </c>
    </row>
    <row r="42" spans="1:19">
      <c r="A42" t="s">
        <v>431</v>
      </c>
      <c r="B42" t="s">
        <v>430</v>
      </c>
      <c r="C42" t="s">
        <v>429</v>
      </c>
      <c r="D42" t="s">
        <v>415</v>
      </c>
      <c r="E42" t="s">
        <v>428</v>
      </c>
      <c r="F42" t="s">
        <v>414</v>
      </c>
      <c r="G42" t="s">
        <v>427</v>
      </c>
      <c r="H42" t="s">
        <v>426</v>
      </c>
    </row>
    <row r="43" spans="1:19">
      <c r="A43" s="275" t="s">
        <v>425</v>
      </c>
      <c r="B43" s="276">
        <v>15000</v>
      </c>
      <c r="C43" s="276">
        <v>20000</v>
      </c>
      <c r="D43" s="276">
        <v>75000</v>
      </c>
      <c r="E43" s="276">
        <v>160</v>
      </c>
      <c r="F43" s="276">
        <v>375000</v>
      </c>
      <c r="G43" s="276">
        <v>2</v>
      </c>
      <c r="H43" s="276">
        <v>3</v>
      </c>
    </row>
    <row r="44" spans="1:19">
      <c r="A44" s="199" t="s">
        <v>424</v>
      </c>
      <c r="B44" s="308">
        <v>8000</v>
      </c>
      <c r="C44" s="308">
        <v>12000</v>
      </c>
      <c r="D44" s="308">
        <v>62500</v>
      </c>
      <c r="E44" s="308">
        <v>135</v>
      </c>
      <c r="F44" s="308">
        <v>312500</v>
      </c>
      <c r="G44" s="308">
        <v>2</v>
      </c>
      <c r="H44" s="308">
        <v>2</v>
      </c>
    </row>
  </sheetData>
  <mergeCells count="16">
    <mergeCell ref="L29:M29"/>
    <mergeCell ref="N29:O29"/>
    <mergeCell ref="F13:G14"/>
    <mergeCell ref="A21:A23"/>
    <mergeCell ref="D25:G25"/>
    <mergeCell ref="G29:H29"/>
    <mergeCell ref="I29:J29"/>
    <mergeCell ref="E13:E14"/>
    <mergeCell ref="F5:F6"/>
    <mergeCell ref="E5:E6"/>
    <mergeCell ref="A3:E4"/>
    <mergeCell ref="A5:C6"/>
    <mergeCell ref="D5:D6"/>
    <mergeCell ref="A11:G12"/>
    <mergeCell ref="A13:C14"/>
    <mergeCell ref="D13:D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T15"/>
  <sheetViews>
    <sheetView zoomScaleNormal="100" workbookViewId="0">
      <pane xSplit="1" ySplit="1" topLeftCell="B2" activePane="bottomRight" state="frozen"/>
      <selection activeCell="D7" sqref="D7"/>
      <selection pane="topRight" activeCell="D7" sqref="D7"/>
      <selection pane="bottomLeft" activeCell="D7" sqref="D7"/>
      <selection pane="bottomRight" activeCell="A2" sqref="A2:H3"/>
    </sheetView>
  </sheetViews>
  <sheetFormatPr defaultRowHeight="17.399999999999999"/>
  <cols>
    <col min="1" max="1" width="15.09765625" bestFit="1" customWidth="1"/>
    <col min="2" max="3" width="22" bestFit="1" customWidth="1"/>
    <col min="4" max="4" width="9.59765625" bestFit="1" customWidth="1"/>
    <col min="5" max="5" width="18.59765625" bestFit="1" customWidth="1"/>
    <col min="6" max="6" width="7.8984375" bestFit="1" customWidth="1"/>
    <col min="7" max="7" width="22" bestFit="1" customWidth="1"/>
    <col min="8" max="8" width="14.3984375" bestFit="1" customWidth="1"/>
    <col min="10" max="10" width="13.3984375" customWidth="1"/>
  </cols>
  <sheetData>
    <row r="1" spans="1:20">
      <c r="A1" t="s">
        <v>431</v>
      </c>
      <c r="B1" t="s">
        <v>430</v>
      </c>
      <c r="C1" t="s">
        <v>429</v>
      </c>
      <c r="D1" t="s">
        <v>415</v>
      </c>
      <c r="E1" t="s">
        <v>428</v>
      </c>
      <c r="F1" t="s">
        <v>414</v>
      </c>
      <c r="G1" t="s">
        <v>427</v>
      </c>
      <c r="H1" t="s">
        <v>426</v>
      </c>
    </row>
    <row r="2" spans="1:20">
      <c r="A2" s="275" t="s">
        <v>425</v>
      </c>
      <c r="B2" s="276">
        <v>15000</v>
      </c>
      <c r="C2" s="276">
        <v>20000</v>
      </c>
      <c r="D2" s="276">
        <v>75000</v>
      </c>
      <c r="E2" s="276">
        <v>160</v>
      </c>
      <c r="F2" s="276">
        <v>375000</v>
      </c>
      <c r="G2" s="276">
        <v>2</v>
      </c>
      <c r="H2" s="276">
        <v>3</v>
      </c>
    </row>
    <row r="3" spans="1:20">
      <c r="A3" s="199" t="s">
        <v>424</v>
      </c>
      <c r="B3" s="308">
        <v>8000</v>
      </c>
      <c r="C3" s="308">
        <v>12000</v>
      </c>
      <c r="D3" s="308">
        <v>62500</v>
      </c>
      <c r="E3" s="308">
        <v>135</v>
      </c>
      <c r="F3" s="308">
        <v>312500</v>
      </c>
      <c r="G3" s="308">
        <v>2</v>
      </c>
      <c r="H3" s="308">
        <v>2</v>
      </c>
      <c r="J3" s="308"/>
    </row>
    <row r="4" spans="1:20">
      <c r="A4" t="s">
        <v>423</v>
      </c>
      <c r="B4" s="223">
        <v>3000</v>
      </c>
      <c r="C4" s="223">
        <v>6000</v>
      </c>
      <c r="D4" s="223">
        <v>50000</v>
      </c>
      <c r="E4" s="223">
        <v>100</v>
      </c>
      <c r="F4" s="223">
        <v>250000</v>
      </c>
      <c r="G4" s="223">
        <v>2</v>
      </c>
      <c r="H4" s="223">
        <v>1</v>
      </c>
      <c r="J4" s="223"/>
    </row>
    <row r="8" spans="1:20" ht="16.5" customHeight="1">
      <c r="E8" s="491" t="s">
        <v>422</v>
      </c>
      <c r="F8" s="375" t="s">
        <v>421</v>
      </c>
      <c r="G8" s="375"/>
      <c r="H8" s="375"/>
      <c r="I8" s="375"/>
      <c r="J8" s="375"/>
      <c r="L8" s="3"/>
      <c r="M8" s="3"/>
      <c r="N8" s="3"/>
      <c r="O8" s="3"/>
      <c r="P8" s="3"/>
      <c r="Q8" s="3"/>
      <c r="R8" s="3"/>
      <c r="S8" s="3"/>
      <c r="T8" s="3"/>
    </row>
    <row r="9" spans="1:20">
      <c r="E9" s="491"/>
      <c r="F9" s="375"/>
      <c r="G9" s="375"/>
      <c r="H9" s="375"/>
      <c r="I9" s="375"/>
      <c r="J9" s="375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>
      <c r="E10" s="491"/>
      <c r="F10" s="375"/>
      <c r="G10" s="375"/>
      <c r="H10" s="375"/>
      <c r="I10" s="375"/>
      <c r="J10" s="375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E11" s="491"/>
      <c r="F11" s="375"/>
      <c r="G11" s="375"/>
      <c r="H11" s="375"/>
      <c r="I11" s="375"/>
      <c r="J11" s="375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89.4" customHeight="1">
      <c r="E12" s="425" t="s">
        <v>544</v>
      </c>
      <c r="F12" s="425"/>
      <c r="G12" s="425"/>
      <c r="H12" s="425"/>
      <c r="I12" s="425"/>
      <c r="J12" s="425"/>
      <c r="K12" s="3"/>
      <c r="L12" s="3"/>
      <c r="M12" s="3"/>
      <c r="N12" s="3"/>
      <c r="O12" s="3"/>
      <c r="P12" s="3"/>
      <c r="Q12" s="3"/>
      <c r="R12" s="3"/>
      <c r="S12" s="3"/>
      <c r="T12" s="3"/>
    </row>
    <row r="15" spans="1:20">
      <c r="G15" s="223"/>
    </row>
  </sheetData>
  <mergeCells count="3">
    <mergeCell ref="E8:E11"/>
    <mergeCell ref="F8:J11"/>
    <mergeCell ref="E12:J1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K14"/>
  <sheetViews>
    <sheetView zoomScale="85" zoomScaleNormal="85" workbookViewId="0">
      <pane xSplit="1" ySplit="1" topLeftCell="B2" activePane="bottomRight" state="frozen"/>
      <selection activeCell="D7" sqref="D7"/>
      <selection pane="topRight" activeCell="D7" sqref="D7"/>
      <selection pane="bottomLeft" activeCell="D7" sqref="D7"/>
      <selection pane="bottomRight" activeCell="F8" sqref="F8"/>
    </sheetView>
  </sheetViews>
  <sheetFormatPr defaultRowHeight="17.399999999999999"/>
  <cols>
    <col min="1" max="1" width="18.59765625" bestFit="1" customWidth="1"/>
    <col min="2" max="2" width="17.09765625" bestFit="1" customWidth="1"/>
    <col min="3" max="3" width="11.59765625" bestFit="1" customWidth="1"/>
    <col min="4" max="4" width="16.5" bestFit="1" customWidth="1"/>
    <col min="5" max="5" width="18.59765625" bestFit="1" customWidth="1"/>
    <col min="6" max="6" width="9.59765625" bestFit="1" customWidth="1"/>
    <col min="7" max="7" width="7.8984375" bestFit="1" customWidth="1"/>
    <col min="8" max="8" width="28.09765625" bestFit="1" customWidth="1"/>
    <col min="9" max="9" width="24.09765625" bestFit="1" customWidth="1"/>
    <col min="10" max="10" width="9.59765625" bestFit="1" customWidth="1"/>
    <col min="11" max="11" width="23.5" bestFit="1" customWidth="1"/>
  </cols>
  <sheetData>
    <row r="1" spans="1:11">
      <c r="A1" t="s">
        <v>420</v>
      </c>
      <c r="B1" t="s">
        <v>419</v>
      </c>
      <c r="C1" t="s">
        <v>418</v>
      </c>
      <c r="D1" t="s">
        <v>417</v>
      </c>
      <c r="E1" t="s">
        <v>416</v>
      </c>
      <c r="F1" t="s">
        <v>415</v>
      </c>
      <c r="G1" t="s">
        <v>414</v>
      </c>
      <c r="H1" s="303" t="s">
        <v>413</v>
      </c>
      <c r="I1" s="303" t="s">
        <v>412</v>
      </c>
      <c r="J1" t="s">
        <v>411</v>
      </c>
      <c r="K1" t="s">
        <v>410</v>
      </c>
    </row>
    <row r="2" spans="1:11">
      <c r="A2" s="275" t="s">
        <v>521</v>
      </c>
      <c r="B2" s="276">
        <v>3250</v>
      </c>
      <c r="C2" s="259">
        <v>4</v>
      </c>
      <c r="D2" s="276">
        <v>40000</v>
      </c>
      <c r="E2" s="259">
        <v>42</v>
      </c>
      <c r="F2" s="276">
        <v>114000</v>
      </c>
      <c r="G2" s="276">
        <v>570000</v>
      </c>
      <c r="H2" s="276">
        <v>4</v>
      </c>
      <c r="I2" s="276">
        <v>6</v>
      </c>
      <c r="J2" s="259" t="s">
        <v>409</v>
      </c>
      <c r="K2" s="277">
        <v>0.15</v>
      </c>
    </row>
    <row r="3" spans="1:11">
      <c r="A3" t="s">
        <v>520</v>
      </c>
      <c r="B3" s="223">
        <v>3100</v>
      </c>
      <c r="C3">
        <v>5</v>
      </c>
      <c r="D3" s="223">
        <v>40000</v>
      </c>
      <c r="E3">
        <v>42</v>
      </c>
      <c r="F3" s="223">
        <v>98000</v>
      </c>
      <c r="G3" s="223">
        <v>490000</v>
      </c>
      <c r="H3" s="223">
        <v>2</v>
      </c>
      <c r="I3" s="223">
        <v>4</v>
      </c>
      <c r="J3" t="s">
        <v>262</v>
      </c>
      <c r="K3" s="222">
        <v>0.1</v>
      </c>
    </row>
    <row r="4" spans="1:11">
      <c r="A4" t="s">
        <v>522</v>
      </c>
      <c r="B4" s="223">
        <v>2950</v>
      </c>
      <c r="C4">
        <v>6</v>
      </c>
      <c r="D4" s="223">
        <v>40000</v>
      </c>
      <c r="E4">
        <v>42</v>
      </c>
      <c r="F4" s="223">
        <v>85000</v>
      </c>
      <c r="G4" s="223">
        <v>425000</v>
      </c>
      <c r="H4" s="223">
        <v>1</v>
      </c>
      <c r="I4" s="223">
        <v>2</v>
      </c>
      <c r="J4" t="s">
        <v>408</v>
      </c>
      <c r="K4" s="222">
        <v>0.08</v>
      </c>
    </row>
    <row r="5" spans="1:11">
      <c r="H5" t="s">
        <v>528</v>
      </c>
      <c r="I5" t="s">
        <v>529</v>
      </c>
    </row>
    <row r="8" spans="1:11" ht="19.2">
      <c r="H8" s="304" t="s">
        <v>532</v>
      </c>
    </row>
    <row r="9" spans="1:11">
      <c r="H9" t="s">
        <v>530</v>
      </c>
    </row>
    <row r="10" spans="1:11">
      <c r="H10" t="s">
        <v>531</v>
      </c>
    </row>
    <row r="11" spans="1:11">
      <c r="I11" t="s">
        <v>376</v>
      </c>
      <c r="J11" t="s">
        <v>536</v>
      </c>
    </row>
    <row r="12" spans="1:11">
      <c r="H12" s="305" t="s">
        <v>534</v>
      </c>
      <c r="I12">
        <v>52</v>
      </c>
      <c r="J12">
        <f>I12*B2</f>
        <v>169000</v>
      </c>
      <c r="K12" s="223">
        <f>F2+G2</f>
        <v>684000</v>
      </c>
    </row>
    <row r="13" spans="1:11">
      <c r="H13" s="305" t="s">
        <v>533</v>
      </c>
      <c r="I13">
        <v>54.5</v>
      </c>
      <c r="J13">
        <f>I13*B3</f>
        <v>168950</v>
      </c>
      <c r="K13" s="223">
        <f t="shared" ref="K13:K14" si="0">F3+G3</f>
        <v>588000</v>
      </c>
    </row>
    <row r="14" spans="1:11">
      <c r="H14" s="305" t="s">
        <v>535</v>
      </c>
      <c r="I14">
        <v>57.3</v>
      </c>
      <c r="J14">
        <f>I14*B4</f>
        <v>169035</v>
      </c>
      <c r="K14" s="223">
        <f t="shared" si="0"/>
        <v>510000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I35"/>
  <sheetViews>
    <sheetView zoomScale="110" zoomScaleNormal="110" workbookViewId="0">
      <selection activeCell="A10" sqref="A10"/>
    </sheetView>
  </sheetViews>
  <sheetFormatPr defaultRowHeight="17.399999999999999"/>
  <cols>
    <col min="1" max="1" width="25.3984375" bestFit="1" customWidth="1"/>
    <col min="2" max="2" width="12.69921875" bestFit="1" customWidth="1"/>
    <col min="3" max="3" width="13.8984375" bestFit="1" customWidth="1"/>
    <col min="4" max="4" width="19.09765625" bestFit="1" customWidth="1"/>
    <col min="5" max="5" width="15.59765625" bestFit="1" customWidth="1"/>
    <col min="6" max="6" width="11.5" bestFit="1" customWidth="1"/>
    <col min="9" max="9" width="10.09765625" bestFit="1" customWidth="1"/>
  </cols>
  <sheetData>
    <row r="1" spans="1:9" ht="19.2">
      <c r="A1" s="482" t="s">
        <v>195</v>
      </c>
      <c r="B1" s="483"/>
      <c r="C1" s="483"/>
      <c r="D1" s="483"/>
      <c r="E1" s="483"/>
      <c r="F1" s="483"/>
    </row>
    <row r="2" spans="1:9">
      <c r="A2" s="118"/>
      <c r="B2" s="119" t="s">
        <v>184</v>
      </c>
      <c r="C2" s="119" t="s">
        <v>185</v>
      </c>
      <c r="D2" s="119" t="s">
        <v>186</v>
      </c>
      <c r="E2" s="119" t="s">
        <v>187</v>
      </c>
      <c r="F2" s="119" t="s">
        <v>188</v>
      </c>
    </row>
    <row r="3" spans="1:9">
      <c r="A3" s="120" t="s">
        <v>189</v>
      </c>
      <c r="B3" s="121">
        <v>2.4</v>
      </c>
      <c r="C3" s="121">
        <v>1</v>
      </c>
      <c r="D3" s="121">
        <v>3.44</v>
      </c>
      <c r="E3" s="121"/>
      <c r="F3" s="122" t="str">
        <f>IF(B3+C3&lt;=D3,"Ok","Not Ok")</f>
        <v>Ok</v>
      </c>
    </row>
    <row r="4" spans="1:9">
      <c r="A4" s="120" t="s">
        <v>190</v>
      </c>
      <c r="B4" s="121">
        <v>2.4</v>
      </c>
      <c r="C4" s="121">
        <v>1</v>
      </c>
      <c r="D4" s="121">
        <v>3.46</v>
      </c>
      <c r="E4" s="121"/>
      <c r="F4" s="122" t="str">
        <f>IF(B4+C4&lt;=D4,"Ok","Not Ok")</f>
        <v>Ok</v>
      </c>
    </row>
    <row r="5" spans="1:9">
      <c r="A5" s="120" t="s">
        <v>191</v>
      </c>
      <c r="B5" s="121">
        <v>2.1</v>
      </c>
      <c r="C5" s="121">
        <v>0.8</v>
      </c>
      <c r="D5" s="121">
        <v>2.98</v>
      </c>
      <c r="E5" s="121"/>
      <c r="F5" s="122" t="str">
        <f>IF(B5+C5&lt;=D5,"Ok","Not Ok")</f>
        <v>Ok</v>
      </c>
    </row>
    <row r="6" spans="1:9">
      <c r="A6" s="120" t="s">
        <v>192</v>
      </c>
      <c r="B6" s="121">
        <v>2</v>
      </c>
      <c r="C6" s="121">
        <v>1.3</v>
      </c>
      <c r="D6" s="121"/>
      <c r="E6" s="121">
        <v>3.3</v>
      </c>
      <c r="F6" s="122" t="str">
        <f>IF(B6+C6&lt;=E6,"Ok","Not Ok")</f>
        <v>Ok</v>
      </c>
    </row>
    <row r="7" spans="1:9">
      <c r="A7" s="120" t="s">
        <v>193</v>
      </c>
      <c r="B7" s="121">
        <v>2.5</v>
      </c>
      <c r="C7" s="121">
        <v>0.5</v>
      </c>
      <c r="D7" s="121"/>
      <c r="E7" s="121">
        <v>3.06</v>
      </c>
      <c r="F7" s="122" t="str">
        <f>IF(B7+C7&lt;=E7,"Ok","Not Ok")</f>
        <v>Ok</v>
      </c>
    </row>
    <row r="8" spans="1:9">
      <c r="A8" s="120" t="s">
        <v>194</v>
      </c>
      <c r="B8" s="121">
        <v>2.2000000000000002</v>
      </c>
      <c r="C8" s="121">
        <v>0.5</v>
      </c>
      <c r="D8" s="121"/>
      <c r="E8" s="121">
        <v>2.72</v>
      </c>
      <c r="F8" s="122" t="str">
        <f>IF(B8+C8&lt;=E8,"Ok","Not Ok")</f>
        <v>Ok</v>
      </c>
    </row>
    <row r="10" spans="1:9">
      <c r="C10" s="241"/>
      <c r="D10" s="241"/>
      <c r="E10" s="241"/>
      <c r="F10" s="241"/>
    </row>
    <row r="11" spans="1:9">
      <c r="A11" s="484" t="s">
        <v>457</v>
      </c>
      <c r="B11" s="484"/>
      <c r="C11" s="484"/>
      <c r="D11" s="484"/>
      <c r="E11" s="484"/>
      <c r="F11" s="484"/>
    </row>
    <row r="12" spans="1:9">
      <c r="A12" s="118"/>
      <c r="B12" s="239" t="s">
        <v>445</v>
      </c>
      <c r="C12" s="239" t="s">
        <v>446</v>
      </c>
      <c r="D12" s="239" t="s">
        <v>447</v>
      </c>
      <c r="E12" s="239" t="s">
        <v>448</v>
      </c>
      <c r="F12" s="239" t="s">
        <v>449</v>
      </c>
    </row>
    <row r="13" spans="1:9">
      <c r="A13" s="240" t="s">
        <v>450</v>
      </c>
      <c r="B13" s="226">
        <f>123431.9114*26</f>
        <v>3209229.6963999998</v>
      </c>
      <c r="C13" s="226">
        <f>196537.0899*26</f>
        <v>5109964.3373999996</v>
      </c>
      <c r="D13" s="226">
        <f>33311.2487*26</f>
        <v>866092.46619999991</v>
      </c>
      <c r="E13" s="226">
        <f>2983.554*26</f>
        <v>77572.40400000001</v>
      </c>
      <c r="F13" s="226">
        <f>183.8048*26</f>
        <v>4778.9247999999998</v>
      </c>
    </row>
    <row r="14" spans="1:9">
      <c r="A14" s="240" t="s">
        <v>451</v>
      </c>
      <c r="B14" s="226">
        <v>150</v>
      </c>
      <c r="C14" s="226">
        <v>175</v>
      </c>
      <c r="D14" s="226">
        <v>175</v>
      </c>
      <c r="E14" s="226">
        <v>150</v>
      </c>
      <c r="F14" s="226">
        <v>150</v>
      </c>
    </row>
    <row r="15" spans="1:9">
      <c r="A15" s="240" t="s">
        <v>452</v>
      </c>
      <c r="B15" s="226">
        <f>100/17280</f>
        <v>5.7870370370370367E-3</v>
      </c>
      <c r="C15" s="226">
        <f>100/1080</f>
        <v>9.2592592592592587E-2</v>
      </c>
      <c r="D15" s="226"/>
      <c r="E15" s="226">
        <f>100/1000</f>
        <v>0.1</v>
      </c>
      <c r="F15" s="226">
        <f>100/1000</f>
        <v>0.1</v>
      </c>
      <c r="H15" s="306"/>
      <c r="I15" s="306"/>
    </row>
    <row r="16" spans="1:9">
      <c r="A16" s="240" t="s">
        <v>453</v>
      </c>
      <c r="B16" s="226">
        <f>0.15/2*0.031</f>
        <v>2.3249999999999998E-3</v>
      </c>
      <c r="C16" s="226">
        <f>0.15/2*0.0512</f>
        <v>3.8400000000000001E-3</v>
      </c>
      <c r="D16" s="226">
        <f>0.15/2*0.4349</f>
        <v>3.2617500000000001E-2</v>
      </c>
      <c r="E16" s="226">
        <f>0.15/2*0.9932</f>
        <v>7.4490000000000001E-2</v>
      </c>
      <c r="F16" s="226">
        <f>0.15/2*0.4805</f>
        <v>3.60375E-2</v>
      </c>
      <c r="H16" s="306"/>
      <c r="I16" s="306"/>
    </row>
    <row r="17" spans="1:7">
      <c r="A17" s="240" t="s">
        <v>454</v>
      </c>
      <c r="B17" s="226">
        <f>SQRT((2*B13*B14)/(B15+B16))</f>
        <v>344505.42566942505</v>
      </c>
      <c r="C17" s="226">
        <f t="shared" ref="C17:F17" si="0">SQRT((2*C13*C14)/(C15+C16))</f>
        <v>136185.55194413607</v>
      </c>
      <c r="D17" s="226">
        <f t="shared" si="0"/>
        <v>96403.059488514526</v>
      </c>
      <c r="E17" s="226">
        <f t="shared" si="0"/>
        <v>11548.590481830533</v>
      </c>
      <c r="F17" s="226">
        <f t="shared" si="0"/>
        <v>3246.3579519546292</v>
      </c>
    </row>
    <row r="18" spans="1:7">
      <c r="A18" s="240" t="s">
        <v>455</v>
      </c>
      <c r="B18" s="225">
        <v>123431.9114</v>
      </c>
      <c r="C18" s="237">
        <v>196537.08989999999</v>
      </c>
      <c r="D18" s="237">
        <v>33311.248699999996</v>
      </c>
      <c r="E18" s="237">
        <v>2983.5540000000001</v>
      </c>
      <c r="F18" s="237">
        <v>183.8048</v>
      </c>
    </row>
    <row r="19" spans="1:7">
      <c r="A19" s="240" t="s">
        <v>456</v>
      </c>
      <c r="B19" s="243">
        <f>B17/B18</f>
        <v>2.7910563950760068</v>
      </c>
      <c r="C19" s="243">
        <f t="shared" ref="C19:E19" si="1">C17/C18</f>
        <v>0.69292545246003501</v>
      </c>
      <c r="D19" s="243">
        <f t="shared" si="1"/>
        <v>2.8940091786026181</v>
      </c>
      <c r="E19" s="243">
        <f t="shared" si="1"/>
        <v>3.8707496099720444</v>
      </c>
      <c r="F19" s="243">
        <f>F17/F18</f>
        <v>17.661986803144583</v>
      </c>
    </row>
    <row r="21" spans="1:7">
      <c r="A21" t="s">
        <v>461</v>
      </c>
    </row>
    <row r="22" spans="1:7">
      <c r="A22" t="s">
        <v>462</v>
      </c>
    </row>
    <row r="23" spans="1:7">
      <c r="A23" t="s">
        <v>463</v>
      </c>
    </row>
    <row r="24" spans="1:7">
      <c r="A24" t="s">
        <v>464</v>
      </c>
    </row>
    <row r="26" spans="1:7">
      <c r="A26" s="484" t="s">
        <v>465</v>
      </c>
      <c r="B26" s="484"/>
      <c r="C26" s="484"/>
      <c r="D26" s="484"/>
      <c r="E26" s="484"/>
      <c r="F26" s="484"/>
      <c r="G26" s="484"/>
    </row>
    <row r="27" spans="1:7">
      <c r="A27" s="118"/>
      <c r="B27" s="239" t="s">
        <v>445</v>
      </c>
      <c r="C27" s="239" t="s">
        <v>446</v>
      </c>
      <c r="D27" s="239" t="s">
        <v>447</v>
      </c>
      <c r="E27" s="239" t="s">
        <v>448</v>
      </c>
      <c r="F27" s="239" t="s">
        <v>449</v>
      </c>
      <c r="G27" s="238" t="s">
        <v>458</v>
      </c>
    </row>
    <row r="28" spans="1:7">
      <c r="A28" s="240" t="s">
        <v>537</v>
      </c>
      <c r="B28" s="226">
        <v>2.8</v>
      </c>
      <c r="C28" s="226">
        <v>1</v>
      </c>
      <c r="D28" s="226">
        <v>2.9</v>
      </c>
      <c r="E28" s="226">
        <v>3.9</v>
      </c>
      <c r="F28" s="226">
        <v>18</v>
      </c>
      <c r="G28" s="226"/>
    </row>
    <row r="29" spans="1:7">
      <c r="A29" s="240" t="s">
        <v>538</v>
      </c>
      <c r="B29" s="226">
        <v>1.5</v>
      </c>
      <c r="C29" s="226">
        <v>1.5</v>
      </c>
      <c r="D29" s="226">
        <v>2</v>
      </c>
      <c r="E29" s="226">
        <v>2</v>
      </c>
      <c r="F29" s="226">
        <v>2</v>
      </c>
      <c r="G29" s="226"/>
    </row>
    <row r="30" spans="1:7">
      <c r="A30" s="240" t="s">
        <v>539</v>
      </c>
      <c r="B30" s="226">
        <f>B28/2+B29</f>
        <v>2.9</v>
      </c>
      <c r="C30" s="226">
        <f t="shared" ref="C30:F30" si="2">C28/2+C29</f>
        <v>2</v>
      </c>
      <c r="D30" s="226">
        <f t="shared" si="2"/>
        <v>3.45</v>
      </c>
      <c r="E30" s="226">
        <f t="shared" si="2"/>
        <v>3.95</v>
      </c>
      <c r="F30" s="226">
        <f t="shared" si="2"/>
        <v>11</v>
      </c>
      <c r="G30" s="226"/>
    </row>
    <row r="31" spans="1:7">
      <c r="A31" s="240" t="s">
        <v>432</v>
      </c>
      <c r="B31" s="225">
        <f>B18</f>
        <v>123431.9114</v>
      </c>
      <c r="C31" s="225">
        <f>C18</f>
        <v>196537.08989999999</v>
      </c>
      <c r="D31" s="225">
        <f>D18</f>
        <v>33311.248699999996</v>
      </c>
      <c r="E31" s="225">
        <f>E18</f>
        <v>2983.5540000000001</v>
      </c>
      <c r="F31" s="225">
        <f>F18</f>
        <v>183.8048</v>
      </c>
      <c r="G31" s="226"/>
    </row>
    <row r="32" spans="1:7">
      <c r="A32" s="240" t="s">
        <v>459</v>
      </c>
      <c r="B32" s="226">
        <f>B31*B30</f>
        <v>357952.54306</v>
      </c>
      <c r="C32" s="226">
        <f t="shared" ref="C32:F32" si="3">C31*C30</f>
        <v>393074.17979999998</v>
      </c>
      <c r="D32" s="226">
        <f t="shared" si="3"/>
        <v>114923.80801499999</v>
      </c>
      <c r="E32" s="226">
        <f t="shared" si="3"/>
        <v>11785.0383</v>
      </c>
      <c r="F32" s="226">
        <f t="shared" si="3"/>
        <v>2021.8528000000001</v>
      </c>
      <c r="G32" s="226"/>
    </row>
    <row r="33" spans="1:7">
      <c r="A33" s="240" t="s">
        <v>460</v>
      </c>
      <c r="B33" s="226">
        <f>B32/17280</f>
        <v>20.714846241898147</v>
      </c>
      <c r="C33" s="226">
        <f>C32/1080</f>
        <v>363.95757388888887</v>
      </c>
      <c r="D33" s="226">
        <f>D32/30000</f>
        <v>3.8307936004999994</v>
      </c>
      <c r="E33" s="226">
        <f>E32/1000</f>
        <v>11.7850383</v>
      </c>
      <c r="F33" s="226">
        <f>F32/1000</f>
        <v>2.0218528</v>
      </c>
      <c r="G33" s="242">
        <f>SUM(B33:F33)*1.15</f>
        <v>462.65662055598</v>
      </c>
    </row>
    <row r="34" spans="1:7">
      <c r="A34" s="307" t="s">
        <v>200</v>
      </c>
      <c r="D34" t="s">
        <v>540</v>
      </c>
      <c r="E34" t="s">
        <v>481</v>
      </c>
    </row>
    <row r="35" spans="1:7">
      <c r="A35" s="307" t="s">
        <v>541</v>
      </c>
      <c r="D35">
        <v>30000</v>
      </c>
      <c r="E35">
        <v>1000</v>
      </c>
    </row>
  </sheetData>
  <mergeCells count="3">
    <mergeCell ref="A1:F1"/>
    <mergeCell ref="A11:F11"/>
    <mergeCell ref="A26:G26"/>
  </mergeCells>
  <phoneticPr fontId="1" type="noConversion"/>
  <conditionalFormatting sqref="F3:F8">
    <cfRule type="cellIs" dxfId="1" priority="1" operator="equal">
      <formula>"Ok"</formula>
    </cfRule>
    <cfRule type="cellIs" dxfId="0" priority="2" operator="equal">
      <formula>"Not OK"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79998168889431442"/>
  </sheetPr>
  <dimension ref="B3:G37"/>
  <sheetViews>
    <sheetView workbookViewId="0">
      <selection activeCell="C15" sqref="C15"/>
    </sheetView>
  </sheetViews>
  <sheetFormatPr defaultRowHeight="17.399999999999999"/>
  <cols>
    <col min="2" max="2" width="17" style="236" bestFit="1" customWidth="1"/>
    <col min="3" max="4" width="11.5" style="236" bestFit="1" customWidth="1"/>
    <col min="5" max="5" width="10.796875" customWidth="1"/>
    <col min="9" max="9" width="18.5" customWidth="1"/>
    <col min="10" max="11" width="11.5" bestFit="1" customWidth="1"/>
    <col min="12" max="12" width="8.69921875" customWidth="1"/>
  </cols>
  <sheetData>
    <row r="3" spans="2:7" ht="21">
      <c r="B3" s="266" t="s">
        <v>515</v>
      </c>
      <c r="C3" s="266"/>
      <c r="D3" s="266"/>
      <c r="E3" s="274" t="s">
        <v>516</v>
      </c>
      <c r="F3" s="266"/>
      <c r="G3" s="266"/>
    </row>
    <row r="4" spans="2:7">
      <c r="B4" s="493" t="s">
        <v>501</v>
      </c>
      <c r="C4" s="493" t="s">
        <v>495</v>
      </c>
      <c r="D4" s="493"/>
      <c r="E4" s="493"/>
      <c r="F4" s="493"/>
      <c r="G4" s="493"/>
    </row>
    <row r="5" spans="2:7">
      <c r="B5" s="493"/>
      <c r="C5" s="264">
        <v>3</v>
      </c>
      <c r="D5" s="264">
        <v>4</v>
      </c>
      <c r="E5" s="264">
        <v>5</v>
      </c>
      <c r="F5" s="264">
        <v>6</v>
      </c>
      <c r="G5" s="265"/>
    </row>
    <row r="6" spans="2:7">
      <c r="B6" s="263" t="s">
        <v>487</v>
      </c>
      <c r="C6" s="236">
        <v>0.97699999999999998</v>
      </c>
      <c r="D6" s="236">
        <v>0.95699999999999996</v>
      </c>
      <c r="E6" s="236">
        <v>1.004</v>
      </c>
      <c r="F6" s="326">
        <v>1.006</v>
      </c>
    </row>
    <row r="7" spans="2:7">
      <c r="B7" s="236" t="s">
        <v>488</v>
      </c>
      <c r="C7" s="236">
        <v>95</v>
      </c>
      <c r="D7" s="236">
        <v>94</v>
      </c>
      <c r="E7" s="236">
        <v>95</v>
      </c>
      <c r="F7" s="326">
        <v>95.5</v>
      </c>
    </row>
    <row r="8" spans="2:7">
      <c r="B8" s="236" t="s">
        <v>489</v>
      </c>
      <c r="C8" s="236">
        <v>70</v>
      </c>
      <c r="D8" s="236">
        <v>70</v>
      </c>
      <c r="E8" s="236">
        <v>75</v>
      </c>
      <c r="F8" s="326">
        <v>75</v>
      </c>
    </row>
    <row r="9" spans="2:7">
      <c r="B9" s="236" t="s">
        <v>490</v>
      </c>
      <c r="C9" s="236" t="s">
        <v>496</v>
      </c>
      <c r="D9" s="236" t="s">
        <v>496</v>
      </c>
      <c r="E9" s="236" t="s">
        <v>594</v>
      </c>
      <c r="F9" s="491" t="s">
        <v>596</v>
      </c>
    </row>
    <row r="10" spans="2:7">
      <c r="B10" s="236" t="s">
        <v>491</v>
      </c>
      <c r="C10" s="236" t="s">
        <v>497</v>
      </c>
      <c r="D10" s="236" t="s">
        <v>497</v>
      </c>
      <c r="E10" s="236" t="s">
        <v>477</v>
      </c>
      <c r="F10" s="491"/>
    </row>
    <row r="11" spans="2:7">
      <c r="B11" s="236" t="s">
        <v>492</v>
      </c>
      <c r="C11" s="262" t="s">
        <v>498</v>
      </c>
      <c r="D11" s="261" t="s">
        <v>498</v>
      </c>
      <c r="E11" s="236" t="s">
        <v>498</v>
      </c>
      <c r="F11" t="s">
        <v>498</v>
      </c>
    </row>
    <row r="12" spans="2:7">
      <c r="B12" s="236" t="s">
        <v>493</v>
      </c>
      <c r="C12" s="260" t="s">
        <v>499</v>
      </c>
      <c r="D12" s="260" t="s">
        <v>499</v>
      </c>
      <c r="E12" s="236" t="s">
        <v>262</v>
      </c>
      <c r="F12" t="s">
        <v>262</v>
      </c>
    </row>
    <row r="13" spans="2:7">
      <c r="B13" s="261" t="s">
        <v>494</v>
      </c>
      <c r="C13" s="260" t="s">
        <v>500</v>
      </c>
      <c r="D13" s="260" t="s">
        <v>500</v>
      </c>
      <c r="E13" s="236" t="s">
        <v>263</v>
      </c>
    </row>
    <row r="15" spans="2:7" ht="21">
      <c r="B15" s="266" t="s">
        <v>502</v>
      </c>
      <c r="C15" s="266"/>
      <c r="D15" s="266"/>
      <c r="E15" s="274" t="s">
        <v>514</v>
      </c>
      <c r="F15" s="266"/>
      <c r="G15" s="266"/>
    </row>
    <row r="16" spans="2:7">
      <c r="B16" s="493" t="s">
        <v>501</v>
      </c>
      <c r="C16" s="493" t="s">
        <v>495</v>
      </c>
      <c r="D16" s="493"/>
      <c r="E16" s="493"/>
      <c r="F16" s="493"/>
      <c r="G16" s="493"/>
    </row>
    <row r="17" spans="2:7">
      <c r="B17" s="493"/>
      <c r="C17" s="264">
        <v>3</v>
      </c>
      <c r="D17" s="264">
        <v>4</v>
      </c>
      <c r="E17" s="264">
        <v>5</v>
      </c>
      <c r="F17" s="264">
        <v>6</v>
      </c>
      <c r="G17" s="265"/>
    </row>
    <row r="18" spans="2:7">
      <c r="B18" s="263" t="s">
        <v>487</v>
      </c>
      <c r="C18" s="236">
        <v>0.93600000000000005</v>
      </c>
      <c r="D18" s="236">
        <v>0.93600000000000005</v>
      </c>
      <c r="E18" s="236">
        <v>0.95899999999999996</v>
      </c>
      <c r="F18" s="326">
        <v>0.96479999999999999</v>
      </c>
    </row>
    <row r="19" spans="2:7">
      <c r="B19" s="236" t="s">
        <v>488</v>
      </c>
      <c r="C19" s="236">
        <v>95</v>
      </c>
      <c r="D19" s="236">
        <v>95</v>
      </c>
      <c r="E19" s="236">
        <v>95</v>
      </c>
      <c r="F19" s="326">
        <v>96</v>
      </c>
    </row>
    <row r="20" spans="2:7">
      <c r="B20" s="236" t="s">
        <v>489</v>
      </c>
      <c r="C20" s="236">
        <v>70</v>
      </c>
      <c r="D20" s="236">
        <v>70</v>
      </c>
      <c r="E20" s="236">
        <v>75</v>
      </c>
      <c r="F20" s="326">
        <v>75</v>
      </c>
    </row>
    <row r="21" spans="2:7">
      <c r="B21" s="236" t="s">
        <v>490</v>
      </c>
      <c r="C21" s="236" t="s">
        <v>496</v>
      </c>
      <c r="D21" s="236" t="s">
        <v>496</v>
      </c>
      <c r="E21" s="236" t="s">
        <v>518</v>
      </c>
      <c r="F21" s="326" t="s">
        <v>594</v>
      </c>
    </row>
    <row r="22" spans="2:7">
      <c r="B22" s="236" t="s">
        <v>491</v>
      </c>
      <c r="C22" s="236" t="s">
        <v>497</v>
      </c>
      <c r="D22" s="236" t="s">
        <v>497</v>
      </c>
      <c r="E22" s="326" t="s">
        <v>497</v>
      </c>
      <c r="F22" s="326" t="s">
        <v>497</v>
      </c>
    </row>
    <row r="23" spans="2:7">
      <c r="B23" s="236" t="s">
        <v>492</v>
      </c>
      <c r="C23" s="262" t="s">
        <v>498</v>
      </c>
      <c r="D23" s="261" t="s">
        <v>498</v>
      </c>
      <c r="E23" s="236" t="s">
        <v>498</v>
      </c>
      <c r="F23" s="326" t="s">
        <v>595</v>
      </c>
    </row>
    <row r="24" spans="2:7">
      <c r="B24" s="236" t="s">
        <v>493</v>
      </c>
      <c r="C24" s="260" t="s">
        <v>499</v>
      </c>
      <c r="D24" s="260" t="s">
        <v>499</v>
      </c>
      <c r="E24" s="236" t="s">
        <v>262</v>
      </c>
      <c r="F24" s="326" t="s">
        <v>262</v>
      </c>
    </row>
    <row r="25" spans="2:7">
      <c r="B25" s="261" t="s">
        <v>494</v>
      </c>
      <c r="C25" s="260" t="s">
        <v>500</v>
      </c>
      <c r="D25" s="260" t="s">
        <v>500</v>
      </c>
      <c r="E25" s="236" t="s">
        <v>263</v>
      </c>
      <c r="F25" s="326"/>
    </row>
    <row r="27" spans="2:7" ht="21">
      <c r="B27" s="266" t="s">
        <v>513</v>
      </c>
      <c r="C27" s="266"/>
      <c r="D27" s="266"/>
      <c r="E27" s="266"/>
      <c r="F27" s="274" t="s">
        <v>517</v>
      </c>
      <c r="G27" s="266"/>
    </row>
    <row r="28" spans="2:7">
      <c r="B28" s="493" t="s">
        <v>501</v>
      </c>
      <c r="C28" s="493" t="s">
        <v>495</v>
      </c>
      <c r="D28" s="493"/>
      <c r="E28" s="493"/>
      <c r="F28" s="493"/>
      <c r="G28" s="493"/>
    </row>
    <row r="29" spans="2:7">
      <c r="B29" s="493"/>
      <c r="C29" s="264">
        <v>3</v>
      </c>
      <c r="D29" s="264">
        <v>4</v>
      </c>
      <c r="E29" s="264">
        <v>5</v>
      </c>
      <c r="F29" s="264">
        <v>6</v>
      </c>
      <c r="G29" s="265"/>
    </row>
    <row r="30" spans="2:7">
      <c r="B30" s="263" t="s">
        <v>487</v>
      </c>
      <c r="C30" s="236">
        <v>1.022</v>
      </c>
      <c r="D30" s="236">
        <v>1.022</v>
      </c>
      <c r="E30" s="326">
        <v>1.022</v>
      </c>
      <c r="F30" s="326">
        <v>1.0264</v>
      </c>
    </row>
    <row r="31" spans="2:7">
      <c r="B31" s="236" t="s">
        <v>488</v>
      </c>
      <c r="C31" s="236">
        <v>95</v>
      </c>
      <c r="D31" s="236">
        <v>95</v>
      </c>
      <c r="E31" s="326">
        <v>95</v>
      </c>
      <c r="F31" s="326">
        <v>95</v>
      </c>
    </row>
    <row r="32" spans="2:7">
      <c r="B32" s="236" t="s">
        <v>489</v>
      </c>
      <c r="C32" s="236">
        <v>75</v>
      </c>
      <c r="D32" s="236">
        <v>75</v>
      </c>
      <c r="E32" s="326">
        <v>75</v>
      </c>
      <c r="F32" s="326">
        <v>75</v>
      </c>
    </row>
    <row r="33" spans="2:6">
      <c r="B33" s="236" t="s">
        <v>490</v>
      </c>
      <c r="C33" s="236" t="s">
        <v>518</v>
      </c>
      <c r="D33" s="236" t="s">
        <v>518</v>
      </c>
      <c r="E33" s="326" t="s">
        <v>518</v>
      </c>
      <c r="F33" s="326" t="s">
        <v>594</v>
      </c>
    </row>
    <row r="34" spans="2:6">
      <c r="B34" s="236" t="s">
        <v>491</v>
      </c>
      <c r="C34" s="236" t="s">
        <v>519</v>
      </c>
      <c r="D34" s="236" t="s">
        <v>519</v>
      </c>
      <c r="E34" s="326" t="s">
        <v>477</v>
      </c>
      <c r="F34" s="326" t="s">
        <v>477</v>
      </c>
    </row>
    <row r="35" spans="2:6">
      <c r="B35" s="236" t="s">
        <v>492</v>
      </c>
      <c r="C35" s="262" t="s">
        <v>498</v>
      </c>
      <c r="D35" s="261" t="s">
        <v>498</v>
      </c>
      <c r="E35" s="261" t="s">
        <v>498</v>
      </c>
      <c r="F35" s="261" t="s">
        <v>595</v>
      </c>
    </row>
    <row r="36" spans="2:6">
      <c r="B36" s="236" t="s">
        <v>493</v>
      </c>
      <c r="C36" s="260" t="s">
        <v>499</v>
      </c>
      <c r="D36" s="260" t="s">
        <v>499</v>
      </c>
      <c r="E36" s="261" t="s">
        <v>262</v>
      </c>
      <c r="F36" s="326" t="s">
        <v>262</v>
      </c>
    </row>
    <row r="37" spans="2:6">
      <c r="B37" s="261" t="s">
        <v>494</v>
      </c>
      <c r="C37" s="260" t="s">
        <v>500</v>
      </c>
      <c r="D37" s="260" t="s">
        <v>500</v>
      </c>
      <c r="E37" s="261" t="s">
        <v>263</v>
      </c>
      <c r="F37" s="326"/>
    </row>
  </sheetData>
  <mergeCells count="7">
    <mergeCell ref="B4:B5"/>
    <mergeCell ref="C4:G4"/>
    <mergeCell ref="B28:B29"/>
    <mergeCell ref="C28:G28"/>
    <mergeCell ref="B16:B17"/>
    <mergeCell ref="C16:G16"/>
    <mergeCell ref="F9:F10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7"/>
  <sheetViews>
    <sheetView topLeftCell="A13" workbookViewId="0">
      <selection activeCell="A29" sqref="A29"/>
    </sheetView>
  </sheetViews>
  <sheetFormatPr defaultRowHeight="17.399999999999999"/>
  <cols>
    <col min="1" max="1" width="16.3984375" bestFit="1" customWidth="1"/>
    <col min="2" max="2" width="90.8984375" bestFit="1" customWidth="1"/>
  </cols>
  <sheetData>
    <row r="1" spans="1:2" ht="19.2">
      <c r="A1" s="494" t="s">
        <v>122</v>
      </c>
      <c r="B1" s="494"/>
    </row>
    <row r="2" spans="1:2">
      <c r="A2" s="87" t="s">
        <v>99</v>
      </c>
      <c r="B2" s="87" t="s">
        <v>100</v>
      </c>
    </row>
    <row r="3" spans="1:2">
      <c r="A3" s="83" t="s">
        <v>92</v>
      </c>
      <c r="B3" s="84" t="s">
        <v>93</v>
      </c>
    </row>
    <row r="4" spans="1:2">
      <c r="A4" s="83" t="s">
        <v>156</v>
      </c>
      <c r="B4" s="83" t="s">
        <v>157</v>
      </c>
    </row>
    <row r="5" spans="1:2">
      <c r="A5" s="85" t="s">
        <v>94</v>
      </c>
      <c r="B5" s="84" t="s">
        <v>95</v>
      </c>
    </row>
    <row r="6" spans="1:2">
      <c r="A6" s="83" t="s">
        <v>96</v>
      </c>
      <c r="B6" s="84" t="s">
        <v>97</v>
      </c>
    </row>
    <row r="7" spans="1:2">
      <c r="A7" s="86" t="s">
        <v>98</v>
      </c>
      <c r="B7" s="83"/>
    </row>
    <row r="8" spans="1:2">
      <c r="A8" s="83" t="s">
        <v>114</v>
      </c>
      <c r="B8" s="84" t="s">
        <v>115</v>
      </c>
    </row>
    <row r="9" spans="1:2">
      <c r="A9" t="s">
        <v>179</v>
      </c>
      <c r="B9" s="84" t="s">
        <v>180</v>
      </c>
    </row>
    <row r="12" spans="1:2" ht="19.2">
      <c r="A12" s="494" t="s">
        <v>120</v>
      </c>
      <c r="B12" s="494"/>
    </row>
    <row r="13" spans="1:2">
      <c r="A13" t="s">
        <v>121</v>
      </c>
    </row>
    <row r="14" spans="1:2">
      <c r="A14" t="s">
        <v>169</v>
      </c>
    </row>
    <row r="15" spans="1:2">
      <c r="A15" t="s">
        <v>177</v>
      </c>
    </row>
    <row r="16" spans="1:2">
      <c r="A16" t="s">
        <v>176</v>
      </c>
    </row>
    <row r="17" spans="1:1">
      <c r="A17" t="s">
        <v>334</v>
      </c>
    </row>
    <row r="20" spans="1:1">
      <c r="A20" s="199" t="s">
        <v>346</v>
      </c>
    </row>
    <row r="21" spans="1:1">
      <c r="A21" t="s">
        <v>339</v>
      </c>
    </row>
    <row r="22" spans="1:1">
      <c r="A22" t="s">
        <v>340</v>
      </c>
    </row>
    <row r="23" spans="1:1">
      <c r="A23" t="s">
        <v>341</v>
      </c>
    </row>
    <row r="24" spans="1:1">
      <c r="A24" t="s">
        <v>342</v>
      </c>
    </row>
    <row r="25" spans="1:1">
      <c r="A25" t="s">
        <v>343</v>
      </c>
    </row>
    <row r="26" spans="1:1">
      <c r="A26" t="s">
        <v>344</v>
      </c>
    </row>
    <row r="27" spans="1:1">
      <c r="A27" t="s">
        <v>345</v>
      </c>
    </row>
  </sheetData>
  <mergeCells count="2">
    <mergeCell ref="A1:B1"/>
    <mergeCell ref="A12:B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9"/>
  <sheetViews>
    <sheetView zoomScale="90" zoomScaleNormal="70" workbookViewId="0">
      <selection activeCell="D14" sqref="D14"/>
    </sheetView>
  </sheetViews>
  <sheetFormatPr defaultColWidth="8.59765625" defaultRowHeight="17.399999999999999"/>
  <cols>
    <col min="1" max="1" width="5" style="106" bestFit="1" customWidth="1"/>
    <col min="2" max="2" width="65.59765625" style="3" customWidth="1"/>
    <col min="3" max="4" width="8.59765625" style="3"/>
    <col min="5" max="5" width="3.59765625" style="3" customWidth="1"/>
    <col min="6" max="6" width="40.59765625" style="3" customWidth="1"/>
    <col min="7" max="16384" width="8.59765625" style="3"/>
  </cols>
  <sheetData>
    <row r="1" spans="1:6" ht="19.2">
      <c r="A1" s="495" t="s">
        <v>163</v>
      </c>
      <c r="B1" s="495"/>
      <c r="E1" s="496" t="s">
        <v>164</v>
      </c>
      <c r="F1" s="496"/>
    </row>
    <row r="2" spans="1:6" s="106" customFormat="1">
      <c r="A2" s="6" t="s">
        <v>47</v>
      </c>
      <c r="B2" s="6" t="s">
        <v>76</v>
      </c>
    </row>
    <row r="3" spans="1:6" ht="34.799999999999997">
      <c r="A3" s="104">
        <v>1</v>
      </c>
      <c r="B3" s="102" t="s">
        <v>77</v>
      </c>
      <c r="E3" s="3">
        <v>1</v>
      </c>
      <c r="F3" s="3" t="s">
        <v>161</v>
      </c>
    </row>
    <row r="4" spans="1:6" ht="34.799999999999997">
      <c r="A4" s="105">
        <v>2</v>
      </c>
      <c r="B4" s="103" t="s">
        <v>78</v>
      </c>
      <c r="E4" s="3">
        <v>2</v>
      </c>
      <c r="F4" s="3" t="s">
        <v>165</v>
      </c>
    </row>
    <row r="5" spans="1:6">
      <c r="A5" s="105">
        <v>3</v>
      </c>
      <c r="B5" s="103" t="s">
        <v>70</v>
      </c>
    </row>
    <row r="6" spans="1:6">
      <c r="A6" s="105">
        <v>4</v>
      </c>
      <c r="B6" s="103" t="s">
        <v>79</v>
      </c>
    </row>
    <row r="7" spans="1:6">
      <c r="A7" s="105">
        <v>5</v>
      </c>
      <c r="B7" s="103" t="s">
        <v>85</v>
      </c>
    </row>
    <row r="8" spans="1:6">
      <c r="A8" s="105">
        <v>6</v>
      </c>
      <c r="B8" s="103" t="s">
        <v>86</v>
      </c>
    </row>
    <row r="9" spans="1:6">
      <c r="A9" s="105">
        <v>7</v>
      </c>
      <c r="B9" s="103" t="s">
        <v>87</v>
      </c>
    </row>
    <row r="10" spans="1:6">
      <c r="A10" s="105">
        <v>8</v>
      </c>
      <c r="B10" s="103" t="s">
        <v>116</v>
      </c>
    </row>
    <row r="11" spans="1:6">
      <c r="A11" s="105">
        <v>9</v>
      </c>
      <c r="B11" s="103" t="s">
        <v>118</v>
      </c>
    </row>
    <row r="12" spans="1:6" ht="34.799999999999997">
      <c r="A12" s="105">
        <v>10</v>
      </c>
      <c r="B12" s="103" t="s">
        <v>111</v>
      </c>
    </row>
    <row r="13" spans="1:6" ht="34.799999999999997">
      <c r="A13" s="105">
        <v>11</v>
      </c>
      <c r="B13" s="103" t="s">
        <v>123</v>
      </c>
    </row>
    <row r="14" spans="1:6">
      <c r="A14" s="105">
        <v>12</v>
      </c>
      <c r="B14" s="103" t="s">
        <v>112</v>
      </c>
      <c r="F14" s="107"/>
    </row>
    <row r="15" spans="1:6" ht="34.799999999999997">
      <c r="A15" s="105">
        <v>13</v>
      </c>
      <c r="B15" s="103" t="s">
        <v>113</v>
      </c>
    </row>
    <row r="16" spans="1:6">
      <c r="A16" s="105">
        <v>14</v>
      </c>
      <c r="B16" s="103" t="s">
        <v>119</v>
      </c>
    </row>
    <row r="17" spans="1:5">
      <c r="A17" s="105">
        <v>15</v>
      </c>
      <c r="B17" s="108" t="s">
        <v>136</v>
      </c>
    </row>
    <row r="18" spans="1:5" ht="34.799999999999997">
      <c r="A18" s="105">
        <v>16</v>
      </c>
      <c r="B18" s="103" t="s">
        <v>135</v>
      </c>
    </row>
    <row r="19" spans="1:5" ht="34.799999999999997">
      <c r="A19" s="113">
        <v>17</v>
      </c>
      <c r="B19" s="114" t="s">
        <v>158</v>
      </c>
      <c r="C19" s="109"/>
      <c r="D19" s="109"/>
      <c r="E19" s="109"/>
    </row>
    <row r="20" spans="1:5" ht="52.2">
      <c r="A20" s="106">
        <v>18</v>
      </c>
      <c r="B20" s="115" t="s">
        <v>167</v>
      </c>
    </row>
    <row r="21" spans="1:5">
      <c r="A21" s="106">
        <v>19</v>
      </c>
      <c r="B21" s="115" t="s">
        <v>170</v>
      </c>
    </row>
    <row r="22" spans="1:5">
      <c r="A22" s="106">
        <v>20</v>
      </c>
      <c r="B22" s="115" t="s">
        <v>171</v>
      </c>
    </row>
    <row r="23" spans="1:5">
      <c r="A23" s="106">
        <v>21</v>
      </c>
      <c r="B23" s="115" t="s">
        <v>172</v>
      </c>
    </row>
    <row r="24" spans="1:5" ht="34.799999999999997">
      <c r="B24" s="3" t="s">
        <v>175</v>
      </c>
      <c r="C24" s="3" t="s">
        <v>174</v>
      </c>
    </row>
    <row r="25" spans="1:5">
      <c r="B25" s="3" t="s">
        <v>178</v>
      </c>
    </row>
    <row r="26" spans="1:5" ht="52.2">
      <c r="B26" s="198" t="s">
        <v>335</v>
      </c>
    </row>
    <row r="27" spans="1:5">
      <c r="B27" s="3" t="s">
        <v>336</v>
      </c>
    </row>
    <row r="28" spans="1:5" ht="34.799999999999997">
      <c r="B28" s="3" t="s">
        <v>337</v>
      </c>
    </row>
    <row r="29" spans="1:5" ht="34.799999999999997">
      <c r="B29" s="3" t="s">
        <v>338</v>
      </c>
    </row>
    <row r="30" spans="1:5">
      <c r="B30" s="3" t="s">
        <v>347</v>
      </c>
    </row>
    <row r="31" spans="1:5">
      <c r="B31" s="3" t="s">
        <v>348</v>
      </c>
    </row>
    <row r="32" spans="1:5" ht="34.799999999999997">
      <c r="B32" s="3" t="s">
        <v>349</v>
      </c>
    </row>
    <row r="33" spans="2:2">
      <c r="B33" s="3" t="s">
        <v>350</v>
      </c>
    </row>
    <row r="34" spans="2:2">
      <c r="B34" s="3" t="s">
        <v>352</v>
      </c>
    </row>
    <row r="35" spans="2:2">
      <c r="B35" s="3" t="s">
        <v>353</v>
      </c>
    </row>
    <row r="36" spans="2:2">
      <c r="B36" s="3" t="s">
        <v>351</v>
      </c>
    </row>
    <row r="37" spans="2:2">
      <c r="B37" s="3" t="s">
        <v>361</v>
      </c>
    </row>
    <row r="38" spans="2:2">
      <c r="B38" s="3" t="s">
        <v>362</v>
      </c>
    </row>
    <row r="39" spans="2:2">
      <c r="B39" s="3" t="s">
        <v>393</v>
      </c>
    </row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B1:Z33"/>
  <sheetViews>
    <sheetView zoomScale="70" zoomScaleNormal="70" workbookViewId="0">
      <selection activeCell="F5" sqref="F5:F8"/>
    </sheetView>
  </sheetViews>
  <sheetFormatPr defaultRowHeight="17.399999999999999"/>
  <cols>
    <col min="1" max="1" width="6.09765625" customWidth="1"/>
    <col min="2" max="2" width="8.09765625" style="1" customWidth="1"/>
    <col min="3" max="3" width="74.59765625" bestFit="1" customWidth="1"/>
    <col min="4" max="4" width="52.5" style="3" customWidth="1"/>
    <col min="5" max="5" width="48.59765625" style="2" customWidth="1"/>
    <col min="6" max="6" width="40.59765625" customWidth="1"/>
    <col min="7" max="7" width="8.59765625" customWidth="1"/>
    <col min="13" max="13" width="21.59765625" bestFit="1" customWidth="1"/>
    <col min="14" max="14" width="9.59765625" customWidth="1"/>
    <col min="26" max="26" width="10.59765625" bestFit="1" customWidth="1"/>
  </cols>
  <sheetData>
    <row r="1" spans="2:13" ht="21">
      <c r="B1" s="346" t="s">
        <v>71</v>
      </c>
      <c r="C1" s="346"/>
      <c r="D1" s="346"/>
    </row>
    <row r="2" spans="2:13" s="1" customFormat="1" ht="87" customHeight="1">
      <c r="B2" s="5" t="s">
        <v>2</v>
      </c>
      <c r="C2" s="7" t="s">
        <v>0</v>
      </c>
      <c r="D2" s="6" t="s">
        <v>1</v>
      </c>
      <c r="E2" s="6" t="s">
        <v>18</v>
      </c>
      <c r="F2" s="6" t="s">
        <v>74</v>
      </c>
    </row>
    <row r="3" spans="2:13" ht="44.85" customHeight="1">
      <c r="B3" s="340" t="s">
        <v>3</v>
      </c>
      <c r="C3" s="25" t="s">
        <v>12</v>
      </c>
      <c r="D3" s="22" t="s">
        <v>14</v>
      </c>
      <c r="E3" s="336" t="s">
        <v>57</v>
      </c>
      <c r="F3" s="338" t="s">
        <v>109</v>
      </c>
    </row>
    <row r="4" spans="2:13" ht="58.35" customHeight="1">
      <c r="B4" s="342"/>
      <c r="C4" s="26" t="s">
        <v>13</v>
      </c>
      <c r="D4" s="4" t="s">
        <v>48</v>
      </c>
      <c r="E4" s="337"/>
      <c r="F4" s="339"/>
    </row>
    <row r="5" spans="2:13" ht="39" customHeight="1">
      <c r="B5" s="340" t="s">
        <v>4</v>
      </c>
      <c r="C5" s="27" t="s">
        <v>19</v>
      </c>
      <c r="D5" s="22" t="s">
        <v>26</v>
      </c>
      <c r="E5" s="343" t="s">
        <v>17</v>
      </c>
      <c r="F5" s="338" t="s">
        <v>49</v>
      </c>
    </row>
    <row r="6" spans="2:13">
      <c r="B6" s="341"/>
      <c r="C6" s="28" t="s">
        <v>20</v>
      </c>
      <c r="D6" s="22" t="s">
        <v>15</v>
      </c>
      <c r="E6" s="344"/>
      <c r="F6" s="345"/>
    </row>
    <row r="7" spans="2:13" ht="34.799999999999997">
      <c r="B7" s="341"/>
      <c r="C7" s="26" t="s">
        <v>21</v>
      </c>
      <c r="D7" s="22" t="s">
        <v>23</v>
      </c>
      <c r="E7" s="344"/>
      <c r="F7" s="345"/>
    </row>
    <row r="8" spans="2:13" ht="34.799999999999997">
      <c r="B8" s="342"/>
      <c r="C8" s="29" t="s">
        <v>22</v>
      </c>
      <c r="D8" s="22" t="s">
        <v>16</v>
      </c>
      <c r="E8" s="337"/>
      <c r="F8" s="339"/>
    </row>
    <row r="9" spans="2:13" ht="37.5" customHeight="1">
      <c r="B9" s="340" t="s">
        <v>5</v>
      </c>
      <c r="C9" s="30" t="s">
        <v>65</v>
      </c>
      <c r="D9" s="22" t="s">
        <v>27</v>
      </c>
      <c r="E9" s="343" t="s">
        <v>10</v>
      </c>
      <c r="F9" s="338" t="s">
        <v>51</v>
      </c>
    </row>
    <row r="10" spans="2:13" ht="44.1" customHeight="1">
      <c r="B10" s="342"/>
      <c r="C10" s="26" t="s">
        <v>8</v>
      </c>
      <c r="D10" s="22" t="s">
        <v>28</v>
      </c>
      <c r="E10" s="337"/>
      <c r="F10" s="339"/>
    </row>
    <row r="11" spans="2:13" ht="42.6" customHeight="1">
      <c r="B11" s="341" t="s">
        <v>6</v>
      </c>
      <c r="C11" s="31" t="s">
        <v>24</v>
      </c>
      <c r="D11" s="22" t="s">
        <v>29</v>
      </c>
      <c r="E11" s="343" t="s">
        <v>11</v>
      </c>
      <c r="F11" s="338" t="s">
        <v>50</v>
      </c>
    </row>
    <row r="12" spans="2:13" ht="39" customHeight="1">
      <c r="B12" s="342"/>
      <c r="C12" s="27" t="s">
        <v>9</v>
      </c>
      <c r="D12" s="22" t="s">
        <v>25</v>
      </c>
      <c r="E12" s="337"/>
      <c r="F12" s="339"/>
      <c r="L12" s="3"/>
      <c r="M12" s="2"/>
    </row>
    <row r="13" spans="2:13">
      <c r="L13" s="3"/>
      <c r="M13" s="2"/>
    </row>
    <row r="14" spans="2:13">
      <c r="L14" s="3"/>
      <c r="M14" s="2"/>
    </row>
    <row r="15" spans="2:13" ht="21">
      <c r="B15" s="346" t="s">
        <v>46</v>
      </c>
      <c r="C15" s="346"/>
      <c r="D15" s="346"/>
    </row>
    <row r="16" spans="2:13">
      <c r="B16" s="5" t="s">
        <v>47</v>
      </c>
      <c r="C16" s="7" t="s">
        <v>32</v>
      </c>
      <c r="D16" s="5" t="s">
        <v>7</v>
      </c>
    </row>
    <row r="17" spans="2:26">
      <c r="B17" s="347">
        <v>1</v>
      </c>
      <c r="C17" s="13" t="s">
        <v>31</v>
      </c>
      <c r="D17" s="350" t="s">
        <v>30</v>
      </c>
    </row>
    <row r="18" spans="2:26">
      <c r="B18" s="348"/>
      <c r="C18" s="9" t="s">
        <v>34</v>
      </c>
      <c r="D18" s="351"/>
    </row>
    <row r="19" spans="2:26">
      <c r="B19" s="348"/>
      <c r="C19" s="8" t="s">
        <v>35</v>
      </c>
      <c r="D19" s="351"/>
    </row>
    <row r="20" spans="2:26">
      <c r="B20" s="349"/>
      <c r="C20" s="14" t="s">
        <v>36</v>
      </c>
      <c r="D20" s="352"/>
    </row>
    <row r="21" spans="2:26">
      <c r="B21" s="353">
        <v>2</v>
      </c>
      <c r="C21" s="15" t="s">
        <v>37</v>
      </c>
      <c r="D21" s="350" t="s">
        <v>33</v>
      </c>
    </row>
    <row r="22" spans="2:26">
      <c r="B22" s="354"/>
      <c r="C22" s="16" t="s">
        <v>38</v>
      </c>
      <c r="D22" s="352"/>
    </row>
    <row r="23" spans="2:26">
      <c r="B23" s="355">
        <v>3</v>
      </c>
      <c r="C23" s="11" t="s">
        <v>39</v>
      </c>
      <c r="D23" s="350" t="s">
        <v>41</v>
      </c>
    </row>
    <row r="24" spans="2:26" ht="17.100000000000001" customHeight="1">
      <c r="B24" s="356"/>
      <c r="C24" s="10" t="s">
        <v>40</v>
      </c>
      <c r="D24" s="352"/>
    </row>
    <row r="25" spans="2:26" ht="19.2">
      <c r="B25" s="17">
        <v>4</v>
      </c>
      <c r="C25" s="18" t="s">
        <v>42</v>
      </c>
      <c r="D25" s="21" t="s">
        <v>43</v>
      </c>
      <c r="K25" s="58" t="s">
        <v>59</v>
      </c>
      <c r="L25" s="58"/>
      <c r="M25" s="37"/>
      <c r="N25" s="38"/>
      <c r="O25" s="39"/>
      <c r="P25" s="38"/>
      <c r="Q25" s="39"/>
      <c r="R25" s="39"/>
      <c r="S25" s="39"/>
      <c r="T25" s="39"/>
      <c r="U25" s="40"/>
      <c r="V25" s="39"/>
      <c r="W25" s="39"/>
      <c r="X25" s="39"/>
      <c r="Y25" s="41"/>
      <c r="Z25" s="41"/>
    </row>
    <row r="26" spans="2:26">
      <c r="B26" s="19">
        <v>5</v>
      </c>
      <c r="C26" s="20" t="s">
        <v>44</v>
      </c>
      <c r="D26" s="21" t="s">
        <v>45</v>
      </c>
      <c r="K26" s="59"/>
      <c r="L26" s="60"/>
      <c r="O26" s="42"/>
      <c r="S26" s="43"/>
      <c r="W26" s="43"/>
    </row>
    <row r="27" spans="2:26" ht="17.100000000000001" customHeight="1">
      <c r="C27" s="2"/>
      <c r="D27"/>
      <c r="K27" s="61"/>
      <c r="L27" s="61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55"/>
      <c r="X27" s="55"/>
      <c r="Y27" s="45"/>
      <c r="Z27" s="46"/>
    </row>
    <row r="28" spans="2:26">
      <c r="C28" s="2"/>
      <c r="D28"/>
      <c r="K28" s="47" t="s">
        <v>60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2:26" ht="21">
      <c r="B29" s="346" t="s">
        <v>52</v>
      </c>
      <c r="C29" s="346"/>
      <c r="D29" s="346"/>
      <c r="K29" s="57" t="s">
        <v>64</v>
      </c>
      <c r="L29" s="49"/>
      <c r="M29" s="50"/>
      <c r="N29" s="50"/>
      <c r="O29" s="50"/>
      <c r="P29" s="51"/>
      <c r="Q29" s="50"/>
      <c r="R29" s="50"/>
      <c r="S29" s="50"/>
      <c r="T29" s="50"/>
      <c r="U29" s="50"/>
      <c r="V29" s="56"/>
      <c r="W29" s="48"/>
      <c r="X29" s="48"/>
      <c r="Y29" s="52"/>
      <c r="Z29" s="53"/>
    </row>
    <row r="30" spans="2:26">
      <c r="B30" s="5" t="s">
        <v>2</v>
      </c>
      <c r="C30" s="5" t="s">
        <v>53</v>
      </c>
      <c r="D30" s="23" t="s">
        <v>54</v>
      </c>
      <c r="K30" s="57" t="s">
        <v>58</v>
      </c>
      <c r="L30" s="49"/>
      <c r="M30" s="50"/>
      <c r="N30" s="50"/>
      <c r="O30" s="50"/>
      <c r="P30" s="51"/>
      <c r="Q30" s="50"/>
      <c r="R30" s="50"/>
      <c r="S30" s="50"/>
      <c r="T30" s="50"/>
      <c r="U30" s="50"/>
      <c r="V30" s="56"/>
      <c r="W30" s="48"/>
      <c r="X30" s="48"/>
      <c r="Y30" s="52"/>
      <c r="Z30" s="53"/>
    </row>
    <row r="31" spans="2:26">
      <c r="B31" s="34" t="s">
        <v>5</v>
      </c>
      <c r="C31" s="35" t="s">
        <v>55</v>
      </c>
      <c r="D31" s="24" t="s">
        <v>56</v>
      </c>
      <c r="K31" s="57" t="s">
        <v>61</v>
      </c>
      <c r="L31" s="49"/>
      <c r="M31" s="50"/>
      <c r="N31" s="50"/>
      <c r="O31" s="50"/>
      <c r="P31" s="51"/>
      <c r="Q31" s="50"/>
      <c r="R31" s="50"/>
      <c r="S31" s="50"/>
      <c r="T31" s="50"/>
      <c r="U31" s="50"/>
      <c r="V31" s="56"/>
      <c r="W31" s="48"/>
      <c r="X31" s="48"/>
      <c r="Y31" s="52"/>
      <c r="Z31" s="53"/>
    </row>
    <row r="32" spans="2:26">
      <c r="K32" s="57" t="s">
        <v>62</v>
      </c>
      <c r="L32" s="49"/>
      <c r="M32" s="50"/>
      <c r="N32" s="50"/>
      <c r="O32" s="50"/>
      <c r="P32" s="51"/>
      <c r="Q32" s="50"/>
      <c r="R32" s="50"/>
      <c r="S32" s="50"/>
      <c r="T32" s="50"/>
      <c r="U32" s="50"/>
      <c r="V32" s="56"/>
      <c r="W32" s="48"/>
      <c r="X32" s="48"/>
      <c r="Y32" s="52"/>
      <c r="Z32" s="53"/>
    </row>
    <row r="33" spans="11:26">
      <c r="K33" s="57" t="s">
        <v>63</v>
      </c>
      <c r="L33" s="54"/>
      <c r="M33" s="50"/>
      <c r="N33" s="50"/>
      <c r="O33" s="50"/>
      <c r="P33" s="51"/>
      <c r="Q33" s="50"/>
      <c r="R33" s="50"/>
      <c r="S33" s="50"/>
      <c r="T33" s="50"/>
      <c r="U33" s="50"/>
      <c r="V33" s="56"/>
      <c r="W33" s="48"/>
      <c r="X33" s="48"/>
      <c r="Y33" s="52"/>
      <c r="Z33" s="53"/>
    </row>
  </sheetData>
  <mergeCells count="21">
    <mergeCell ref="B1:D1"/>
    <mergeCell ref="B29:D29"/>
    <mergeCell ref="B15:D15"/>
    <mergeCell ref="B17:B20"/>
    <mergeCell ref="D17:D20"/>
    <mergeCell ref="B21:B22"/>
    <mergeCell ref="D21:D22"/>
    <mergeCell ref="B23:B24"/>
    <mergeCell ref="D23:D24"/>
    <mergeCell ref="B9:B10"/>
    <mergeCell ref="B3:B4"/>
    <mergeCell ref="E9:E10"/>
    <mergeCell ref="F9:F10"/>
    <mergeCell ref="B11:B12"/>
    <mergeCell ref="E11:E12"/>
    <mergeCell ref="F11:F12"/>
    <mergeCell ref="E3:E4"/>
    <mergeCell ref="F3:F4"/>
    <mergeCell ref="B5:B8"/>
    <mergeCell ref="E5:E8"/>
    <mergeCell ref="F5:F8"/>
  </mergeCells>
  <phoneticPr fontId="1" type="noConversion"/>
  <conditionalFormatting sqref="Z29:Z33">
    <cfRule type="cellIs" dxfId="4" priority="3" operator="equal">
      <formula>"Not OK"</formula>
    </cfRule>
    <cfRule type="cellIs" dxfId="3" priority="4" operator="equal">
      <formula>"OK"</formula>
    </cfRule>
  </conditionalFormatting>
  <conditionalFormatting sqref="Y29:Y33">
    <cfRule type="containsText" dxfId="2" priority="2" operator="containsText" text="재고없음">
      <formula>NOT(ISERROR(SEARCH("재고없음",Y29)))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B1:G21"/>
  <sheetViews>
    <sheetView zoomScale="70" zoomScaleNormal="70" workbookViewId="0">
      <selection activeCell="F5" sqref="F5"/>
    </sheetView>
  </sheetViews>
  <sheetFormatPr defaultRowHeight="17.399999999999999"/>
  <cols>
    <col min="1" max="1" width="4.8984375" customWidth="1"/>
    <col min="2" max="2" width="8.09765625" style="1" customWidth="1"/>
    <col min="3" max="3" width="47.09765625" customWidth="1"/>
    <col min="4" max="4" width="45.59765625" style="3" customWidth="1"/>
    <col min="5" max="5" width="41.09765625" style="2" customWidth="1"/>
    <col min="6" max="6" width="39.09765625" customWidth="1"/>
    <col min="7" max="7" width="61.59765625" customWidth="1"/>
  </cols>
  <sheetData>
    <row r="1" spans="2:7" ht="25.2">
      <c r="B1" s="88" t="s">
        <v>71</v>
      </c>
      <c r="C1" s="88"/>
      <c r="D1" s="88"/>
    </row>
    <row r="2" spans="2:7" s="1" customFormat="1" ht="77.400000000000006" customHeight="1">
      <c r="B2" s="5" t="s">
        <v>2</v>
      </c>
      <c r="C2" s="7" t="s">
        <v>0</v>
      </c>
      <c r="D2" s="79" t="s">
        <v>1</v>
      </c>
      <c r="E2" s="75" t="s">
        <v>69</v>
      </c>
      <c r="F2" s="6" t="s">
        <v>74</v>
      </c>
      <c r="G2" s="6" t="s">
        <v>66</v>
      </c>
    </row>
    <row r="3" spans="2:7" ht="52.2">
      <c r="B3" s="33" t="s">
        <v>3</v>
      </c>
      <c r="C3" s="22" t="s">
        <v>101</v>
      </c>
      <c r="D3" s="81" t="s">
        <v>110</v>
      </c>
      <c r="E3" s="76" t="s">
        <v>57</v>
      </c>
      <c r="F3" s="22" t="s">
        <v>105</v>
      </c>
      <c r="G3" s="36" t="s">
        <v>68</v>
      </c>
    </row>
    <row r="4" spans="2:7" s="3" customFormat="1" ht="87">
      <c r="B4" s="62" t="s">
        <v>4</v>
      </c>
      <c r="C4" s="71" t="s">
        <v>102</v>
      </c>
      <c r="D4" s="80" t="s">
        <v>125</v>
      </c>
      <c r="E4" s="77" t="s">
        <v>17</v>
      </c>
      <c r="F4" s="64" t="s">
        <v>126</v>
      </c>
      <c r="G4" s="63" t="s">
        <v>67</v>
      </c>
    </row>
    <row r="5" spans="2:7" ht="52.2">
      <c r="B5" s="33" t="s">
        <v>5</v>
      </c>
      <c r="C5" s="72" t="s">
        <v>75</v>
      </c>
      <c r="D5" s="81" t="s">
        <v>124</v>
      </c>
      <c r="E5" s="77" t="s">
        <v>10</v>
      </c>
      <c r="F5" s="32" t="s">
        <v>127</v>
      </c>
      <c r="G5" s="92" t="s">
        <v>132</v>
      </c>
    </row>
    <row r="6" spans="2:7" ht="52.2">
      <c r="B6" s="19" t="s">
        <v>6</v>
      </c>
      <c r="C6" s="73" t="s">
        <v>72</v>
      </c>
      <c r="D6" s="81" t="s">
        <v>103</v>
      </c>
      <c r="E6" s="78" t="s">
        <v>11</v>
      </c>
      <c r="F6" s="22" t="s">
        <v>130</v>
      </c>
      <c r="G6" s="66" t="s">
        <v>129</v>
      </c>
    </row>
    <row r="7" spans="2:7">
      <c r="C7" t="s">
        <v>73</v>
      </c>
    </row>
    <row r="8" spans="2:7">
      <c r="E8"/>
    </row>
    <row r="9" spans="2:7" ht="25.2">
      <c r="B9" s="357" t="s">
        <v>117</v>
      </c>
      <c r="C9" s="357"/>
      <c r="D9" s="357"/>
    </row>
    <row r="10" spans="2:7">
      <c r="B10" s="5" t="s">
        <v>47</v>
      </c>
      <c r="C10" s="7" t="s">
        <v>32</v>
      </c>
      <c r="D10" s="5" t="s">
        <v>7</v>
      </c>
    </row>
    <row r="11" spans="2:7">
      <c r="B11" s="68">
        <v>1</v>
      </c>
      <c r="C11" s="69" t="s">
        <v>88</v>
      </c>
      <c r="D11" s="65" t="s">
        <v>131</v>
      </c>
    </row>
    <row r="12" spans="2:7">
      <c r="B12" s="68">
        <v>2</v>
      </c>
      <c r="C12" s="69" t="s">
        <v>91</v>
      </c>
      <c r="D12" s="65" t="s">
        <v>106</v>
      </c>
    </row>
    <row r="13" spans="2:7" ht="34.799999999999997">
      <c r="B13" s="70">
        <v>3</v>
      </c>
      <c r="C13" s="74" t="s">
        <v>90</v>
      </c>
      <c r="D13" s="65" t="s">
        <v>108</v>
      </c>
      <c r="E13" s="89"/>
    </row>
    <row r="14" spans="2:7">
      <c r="B14" s="91">
        <v>4</v>
      </c>
      <c r="C14" s="90" t="s">
        <v>89</v>
      </c>
      <c r="D14" s="67" t="s">
        <v>107</v>
      </c>
      <c r="E14" s="89"/>
    </row>
    <row r="15" spans="2:7">
      <c r="C15" s="2"/>
      <c r="D15"/>
      <c r="E15" s="89"/>
    </row>
    <row r="16" spans="2:7">
      <c r="C16" s="2"/>
      <c r="D16"/>
    </row>
    <row r="17" spans="2:4" ht="25.2">
      <c r="B17" s="357" t="s">
        <v>104</v>
      </c>
      <c r="C17" s="357"/>
      <c r="D17" s="357"/>
    </row>
    <row r="18" spans="2:4">
      <c r="B18" s="5" t="s">
        <v>2</v>
      </c>
      <c r="C18" s="5" t="s">
        <v>53</v>
      </c>
      <c r="D18" s="23" t="s">
        <v>54</v>
      </c>
    </row>
    <row r="19" spans="2:4" ht="52.2">
      <c r="B19" s="12" t="s">
        <v>5</v>
      </c>
      <c r="C19" s="82" t="s">
        <v>133</v>
      </c>
      <c r="D19" s="93" t="s">
        <v>128</v>
      </c>
    </row>
    <row r="21" spans="2:4" ht="34.799999999999997">
      <c r="D21" s="3" t="s">
        <v>134</v>
      </c>
    </row>
  </sheetData>
  <mergeCells count="2">
    <mergeCell ref="B17:D17"/>
    <mergeCell ref="B9:D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B1:H24"/>
  <sheetViews>
    <sheetView zoomScale="80" zoomScaleNormal="80" workbookViewId="0">
      <selection activeCell="F7" sqref="F7:G7"/>
    </sheetView>
  </sheetViews>
  <sheetFormatPr defaultRowHeight="17.399999999999999"/>
  <cols>
    <col min="1" max="1" width="4.8984375" customWidth="1"/>
    <col min="2" max="2" width="8.09765625" style="1" customWidth="1"/>
    <col min="3" max="3" width="51.09765625" customWidth="1"/>
    <col min="4" max="4" width="45.59765625" style="3" customWidth="1"/>
    <col min="5" max="5" width="45.8984375" style="2" customWidth="1"/>
    <col min="6" max="6" width="9.8984375" style="2" customWidth="1"/>
    <col min="7" max="8" width="39.09765625" customWidth="1"/>
  </cols>
  <sheetData>
    <row r="1" spans="2:8" ht="25.2">
      <c r="B1" s="88" t="s">
        <v>162</v>
      </c>
      <c r="C1" s="88"/>
      <c r="D1" s="88"/>
    </row>
    <row r="2" spans="2:8" s="1" customFormat="1" ht="56.1" customHeight="1">
      <c r="B2" s="99" t="s">
        <v>2</v>
      </c>
      <c r="C2" s="7" t="s">
        <v>0</v>
      </c>
      <c r="D2" s="79" t="s">
        <v>1</v>
      </c>
      <c r="E2" s="75" t="s">
        <v>140</v>
      </c>
      <c r="F2" s="362" t="s">
        <v>74</v>
      </c>
      <c r="G2" s="363"/>
      <c r="H2" s="6" t="s">
        <v>66</v>
      </c>
    </row>
    <row r="3" spans="2:8" ht="96.6" customHeight="1">
      <c r="B3" s="95" t="s">
        <v>3</v>
      </c>
      <c r="C3" s="22" t="s">
        <v>101</v>
      </c>
      <c r="D3" s="112" t="s">
        <v>173</v>
      </c>
      <c r="E3" s="130" t="s">
        <v>196</v>
      </c>
      <c r="F3" s="364" t="s">
        <v>183</v>
      </c>
      <c r="G3" s="365"/>
      <c r="H3" s="110"/>
    </row>
    <row r="4" spans="2:8" ht="39" customHeight="1">
      <c r="B4" s="350" t="s">
        <v>4</v>
      </c>
      <c r="C4" s="22" t="s">
        <v>148</v>
      </c>
      <c r="D4" s="81" t="s">
        <v>149</v>
      </c>
      <c r="E4" s="360" t="s">
        <v>155</v>
      </c>
      <c r="F4" s="21" t="s">
        <v>60</v>
      </c>
      <c r="G4" s="21" t="s">
        <v>357</v>
      </c>
      <c r="H4" s="101"/>
    </row>
    <row r="5" spans="2:8" ht="34.799999999999997">
      <c r="B5" s="351"/>
      <c r="C5" s="22" t="s">
        <v>151</v>
      </c>
      <c r="D5" s="81" t="s">
        <v>168</v>
      </c>
      <c r="E5" s="361"/>
      <c r="F5" s="21" t="s">
        <v>159</v>
      </c>
      <c r="G5" s="21" t="s">
        <v>166</v>
      </c>
      <c r="H5" s="101" t="s">
        <v>181</v>
      </c>
    </row>
    <row r="6" spans="2:8" s="3" customFormat="1" ht="34.799999999999997">
      <c r="B6" s="352"/>
      <c r="C6" s="71" t="s">
        <v>152</v>
      </c>
      <c r="D6" s="81" t="s">
        <v>150</v>
      </c>
      <c r="E6" s="359"/>
      <c r="F6" s="21" t="s">
        <v>160</v>
      </c>
      <c r="G6" s="21" t="s">
        <v>358</v>
      </c>
      <c r="H6" s="94"/>
    </row>
    <row r="7" spans="2:8" s="3" customFormat="1" ht="45" customHeight="1">
      <c r="B7" s="340" t="s">
        <v>5</v>
      </c>
      <c r="C7" s="72" t="s">
        <v>137</v>
      </c>
      <c r="D7" s="116" t="s">
        <v>182</v>
      </c>
      <c r="E7" s="358" t="s">
        <v>154</v>
      </c>
      <c r="F7" s="366" t="s">
        <v>354</v>
      </c>
      <c r="G7" s="367"/>
      <c r="H7" s="111"/>
    </row>
    <row r="8" spans="2:8" ht="45" customHeight="1">
      <c r="B8" s="342"/>
      <c r="C8" s="100" t="s">
        <v>138</v>
      </c>
      <c r="D8" s="81" t="s">
        <v>139</v>
      </c>
      <c r="E8" s="359"/>
      <c r="F8" s="368" t="s">
        <v>356</v>
      </c>
      <c r="G8" s="369"/>
      <c r="H8" s="117" t="s">
        <v>355</v>
      </c>
    </row>
    <row r="9" spans="2:8" ht="52.2">
      <c r="B9" s="98" t="s">
        <v>6</v>
      </c>
      <c r="C9" s="73" t="s">
        <v>146</v>
      </c>
      <c r="D9" s="81" t="s">
        <v>147</v>
      </c>
      <c r="E9" s="78" t="s">
        <v>153</v>
      </c>
      <c r="F9" s="370" t="s">
        <v>365</v>
      </c>
      <c r="G9" s="371"/>
      <c r="H9" s="25"/>
    </row>
    <row r="11" spans="2:8">
      <c r="E11"/>
      <c r="F11"/>
    </row>
    <row r="12" spans="2:8" ht="25.2" hidden="1">
      <c r="B12" s="357" t="s">
        <v>117</v>
      </c>
      <c r="C12" s="357"/>
      <c r="D12" s="357"/>
    </row>
    <row r="13" spans="2:8" hidden="1">
      <c r="B13" s="99" t="s">
        <v>47</v>
      </c>
      <c r="C13" s="7" t="s">
        <v>32</v>
      </c>
      <c r="D13" s="99" t="s">
        <v>7</v>
      </c>
    </row>
    <row r="14" spans="2:8" hidden="1">
      <c r="B14" s="68">
        <v>1</v>
      </c>
      <c r="C14" s="69"/>
      <c r="D14" s="97"/>
    </row>
    <row r="15" spans="2:8" hidden="1">
      <c r="B15" s="68">
        <v>2</v>
      </c>
      <c r="C15" s="69"/>
      <c r="D15" s="97"/>
    </row>
    <row r="16" spans="2:8" hidden="1">
      <c r="B16" s="70">
        <v>3</v>
      </c>
      <c r="C16" s="74"/>
      <c r="D16" s="97"/>
      <c r="E16" s="89"/>
    </row>
    <row r="17" spans="2:8" hidden="1">
      <c r="B17" s="91">
        <v>4</v>
      </c>
      <c r="C17" s="90"/>
      <c r="D17" s="67"/>
      <c r="E17" s="89"/>
    </row>
    <row r="18" spans="2:8" hidden="1">
      <c r="C18" s="2"/>
      <c r="D18"/>
      <c r="E18" s="89"/>
    </row>
    <row r="19" spans="2:8" hidden="1">
      <c r="C19" s="2"/>
      <c r="D19"/>
    </row>
    <row r="20" spans="2:8" s="2" customFormat="1" ht="25.2" hidden="1">
      <c r="B20" s="357" t="s">
        <v>104</v>
      </c>
      <c r="C20" s="357"/>
      <c r="D20" s="357"/>
      <c r="G20"/>
      <c r="H20"/>
    </row>
    <row r="21" spans="2:8" s="2" customFormat="1" hidden="1">
      <c r="B21" s="99" t="s">
        <v>2</v>
      </c>
      <c r="C21" s="99" t="s">
        <v>53</v>
      </c>
      <c r="D21" s="23" t="s">
        <v>54</v>
      </c>
      <c r="G21"/>
      <c r="H21"/>
    </row>
    <row r="22" spans="2:8" s="2" customFormat="1" ht="29.1" hidden="1" customHeight="1">
      <c r="B22" s="96"/>
      <c r="C22" s="82"/>
      <c r="D22" s="93"/>
      <c r="G22"/>
      <c r="H22"/>
    </row>
    <row r="24" spans="2:8" s="2" customFormat="1">
      <c r="B24" s="1"/>
      <c r="C24"/>
      <c r="D24" s="3"/>
      <c r="G24"/>
      <c r="H24"/>
    </row>
  </sheetData>
  <mergeCells count="11">
    <mergeCell ref="F2:G2"/>
    <mergeCell ref="F3:G3"/>
    <mergeCell ref="F7:G7"/>
    <mergeCell ref="F8:G8"/>
    <mergeCell ref="F9:G9"/>
    <mergeCell ref="B12:D12"/>
    <mergeCell ref="B20:D20"/>
    <mergeCell ref="B7:B8"/>
    <mergeCell ref="E7:E8"/>
    <mergeCell ref="B4:B6"/>
    <mergeCell ref="E4:E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B1:K37"/>
  <sheetViews>
    <sheetView zoomScale="70" zoomScaleNormal="70" workbookViewId="0">
      <selection activeCell="H7" sqref="H7"/>
    </sheetView>
  </sheetViews>
  <sheetFormatPr defaultRowHeight="17.399999999999999"/>
  <cols>
    <col min="1" max="1" width="4.8984375" customWidth="1"/>
    <col min="2" max="2" width="8.09765625" style="1" customWidth="1"/>
    <col min="3" max="3" width="43.09765625" customWidth="1"/>
    <col min="4" max="4" width="32.09765625" customWidth="1"/>
    <col min="5" max="5" width="29.09765625" style="3" customWidth="1"/>
    <col min="6" max="6" width="11" style="3" customWidth="1"/>
    <col min="7" max="7" width="40.59765625" style="2" customWidth="1"/>
    <col min="8" max="8" width="46.59765625" customWidth="1"/>
    <col min="9" max="9" width="29.5" bestFit="1" customWidth="1"/>
  </cols>
  <sheetData>
    <row r="1" spans="2:11" ht="25.2">
      <c r="B1" s="88" t="s">
        <v>71</v>
      </c>
      <c r="C1" s="88"/>
      <c r="D1" s="88"/>
      <c r="E1" s="88"/>
      <c r="F1" s="141"/>
    </row>
    <row r="2" spans="2:11" s="1" customFormat="1" ht="56.1" customHeight="1">
      <c r="B2" s="127" t="s">
        <v>2</v>
      </c>
      <c r="C2" s="173" t="s">
        <v>360</v>
      </c>
      <c r="D2" s="7" t="s">
        <v>359</v>
      </c>
      <c r="E2" s="79" t="s">
        <v>1</v>
      </c>
      <c r="F2" s="376" t="s">
        <v>363</v>
      </c>
      <c r="G2" s="363"/>
      <c r="H2" s="191" t="s">
        <v>74</v>
      </c>
      <c r="I2" s="6" t="s">
        <v>372</v>
      </c>
    </row>
    <row r="3" spans="2:11" ht="66" customHeight="1">
      <c r="B3" s="340" t="s">
        <v>3</v>
      </c>
      <c r="C3" s="350" t="s">
        <v>318</v>
      </c>
      <c r="D3" s="350" t="s">
        <v>321</v>
      </c>
      <c r="E3" s="386" t="s">
        <v>321</v>
      </c>
      <c r="F3" s="387" t="s">
        <v>244</v>
      </c>
      <c r="G3" s="388"/>
      <c r="H3" s="204" t="s">
        <v>384</v>
      </c>
      <c r="I3" s="112" t="s">
        <v>383</v>
      </c>
    </row>
    <row r="4" spans="2:11" ht="45.75" customHeight="1">
      <c r="B4" s="342"/>
      <c r="C4" s="352"/>
      <c r="D4" s="352"/>
      <c r="E4" s="381"/>
      <c r="F4" s="389"/>
      <c r="G4" s="390"/>
      <c r="H4" s="205" t="s">
        <v>396</v>
      </c>
      <c r="I4" s="112" t="s">
        <v>389</v>
      </c>
    </row>
    <row r="5" spans="2:11" ht="39" customHeight="1">
      <c r="B5" s="350" t="s">
        <v>4</v>
      </c>
      <c r="C5" s="184" t="s">
        <v>319</v>
      </c>
      <c r="D5" s="184" t="s">
        <v>325</v>
      </c>
      <c r="E5" s="185" t="s">
        <v>149</v>
      </c>
      <c r="F5" s="21" t="s">
        <v>160</v>
      </c>
      <c r="G5" s="146" t="s">
        <v>247</v>
      </c>
      <c r="H5" s="21" t="s">
        <v>397</v>
      </c>
      <c r="I5" s="202" t="s">
        <v>399</v>
      </c>
      <c r="J5" s="207"/>
      <c r="K5" s="208"/>
    </row>
    <row r="6" spans="2:11" ht="52.2">
      <c r="B6" s="351"/>
      <c r="C6" s="184" t="s">
        <v>324</v>
      </c>
      <c r="D6" s="382" t="s">
        <v>367</v>
      </c>
      <c r="E6" s="384" t="s">
        <v>366</v>
      </c>
      <c r="F6" s="21" t="s">
        <v>159</v>
      </c>
      <c r="G6" s="150" t="s">
        <v>246</v>
      </c>
      <c r="H6" s="21" t="s">
        <v>368</v>
      </c>
      <c r="I6" s="202" t="s">
        <v>390</v>
      </c>
    </row>
    <row r="7" spans="2:11" s="3" customFormat="1" ht="52.2">
      <c r="B7" s="352"/>
      <c r="C7" s="184" t="s">
        <v>320</v>
      </c>
      <c r="D7" s="383"/>
      <c r="E7" s="385"/>
      <c r="F7" s="21" t="s">
        <v>60</v>
      </c>
      <c r="G7" s="139" t="s">
        <v>245</v>
      </c>
      <c r="H7" s="21" t="s">
        <v>394</v>
      </c>
      <c r="I7" s="202" t="s">
        <v>391</v>
      </c>
    </row>
    <row r="8" spans="2:11" s="3" customFormat="1" ht="62.4" customHeight="1">
      <c r="B8" s="128" t="s">
        <v>5</v>
      </c>
      <c r="C8" s="72" t="s">
        <v>323</v>
      </c>
      <c r="D8" s="182" t="s">
        <v>321</v>
      </c>
      <c r="E8" s="183" t="s">
        <v>321</v>
      </c>
      <c r="F8" s="366" t="s">
        <v>371</v>
      </c>
      <c r="G8" s="367"/>
      <c r="H8" s="206" t="s">
        <v>400</v>
      </c>
      <c r="I8" s="125"/>
    </row>
    <row r="9" spans="2:11">
      <c r="B9" s="350" t="s">
        <v>6</v>
      </c>
      <c r="C9" s="377" t="s">
        <v>322</v>
      </c>
      <c r="D9" s="372" t="s">
        <v>321</v>
      </c>
      <c r="E9" s="380" t="s">
        <v>321</v>
      </c>
      <c r="F9" s="148" t="s">
        <v>60</v>
      </c>
      <c r="G9" s="146" t="s">
        <v>248</v>
      </c>
      <c r="H9" s="192"/>
      <c r="I9" s="117"/>
    </row>
    <row r="10" spans="2:11" ht="45" customHeight="1">
      <c r="B10" s="351"/>
      <c r="C10" s="378"/>
      <c r="D10" s="373"/>
      <c r="E10" s="380"/>
      <c r="F10" s="147" t="s">
        <v>4</v>
      </c>
      <c r="G10" s="146" t="s">
        <v>235</v>
      </c>
      <c r="H10" s="192"/>
      <c r="I10" s="117"/>
    </row>
    <row r="11" spans="2:11">
      <c r="B11" s="352"/>
      <c r="C11" s="379"/>
      <c r="D11" s="374"/>
      <c r="E11" s="381"/>
      <c r="F11" s="149" t="s">
        <v>160</v>
      </c>
      <c r="G11" s="140" t="s">
        <v>249</v>
      </c>
      <c r="H11" s="192" t="s">
        <v>398</v>
      </c>
      <c r="I11" s="25"/>
    </row>
    <row r="13" spans="2:11">
      <c r="G13"/>
    </row>
    <row r="14" spans="2:11" ht="25.35" hidden="1" customHeight="1">
      <c r="B14" s="357" t="s">
        <v>117</v>
      </c>
      <c r="C14" s="357"/>
      <c r="D14" s="357"/>
      <c r="E14" s="357"/>
      <c r="F14" s="142"/>
    </row>
    <row r="15" spans="2:11" ht="17.399999999999999" hidden="1" customHeight="1">
      <c r="B15" s="127" t="s">
        <v>47</v>
      </c>
      <c r="C15" s="7" t="s">
        <v>32</v>
      </c>
      <c r="D15" s="7"/>
      <c r="E15" s="127" t="s">
        <v>7</v>
      </c>
      <c r="F15" s="143"/>
    </row>
    <row r="16" spans="2:11" hidden="1">
      <c r="B16" s="68">
        <v>1</v>
      </c>
      <c r="C16" s="69"/>
      <c r="D16" s="179"/>
      <c r="E16" s="123"/>
      <c r="F16" s="144"/>
    </row>
    <row r="17" spans="2:9" hidden="1">
      <c r="B17" s="68">
        <v>2</v>
      </c>
      <c r="C17" s="69"/>
      <c r="D17" s="179"/>
      <c r="E17" s="123"/>
      <c r="F17" s="144"/>
    </row>
    <row r="18" spans="2:9" hidden="1">
      <c r="B18" s="70">
        <v>3</v>
      </c>
      <c r="C18" s="74"/>
      <c r="D18" s="180"/>
      <c r="E18" s="123"/>
      <c r="F18" s="144"/>
      <c r="G18" s="89"/>
    </row>
    <row r="19" spans="2:9" hidden="1">
      <c r="B19" s="91">
        <v>4</v>
      </c>
      <c r="C19" s="90"/>
      <c r="D19" s="90"/>
      <c r="E19" s="67"/>
      <c r="F19" s="144"/>
      <c r="G19" s="89"/>
    </row>
    <row r="20" spans="2:9" hidden="1">
      <c r="C20" s="2"/>
      <c r="D20" s="2"/>
      <c r="E20"/>
      <c r="F20"/>
      <c r="G20" s="89"/>
    </row>
    <row r="21" spans="2:9" hidden="1">
      <c r="C21" s="2"/>
      <c r="D21" s="2"/>
      <c r="E21"/>
      <c r="F21"/>
    </row>
    <row r="22" spans="2:9" s="2" customFormat="1" ht="25.2" hidden="1">
      <c r="B22" s="357" t="s">
        <v>104</v>
      </c>
      <c r="C22" s="357"/>
      <c r="D22" s="357"/>
      <c r="E22" s="357"/>
      <c r="F22" s="142"/>
      <c r="H22"/>
      <c r="I22"/>
    </row>
    <row r="23" spans="2:9" s="2" customFormat="1" hidden="1">
      <c r="B23" s="127" t="s">
        <v>2</v>
      </c>
      <c r="C23" s="127" t="s">
        <v>53</v>
      </c>
      <c r="D23" s="23"/>
      <c r="E23" s="23" t="s">
        <v>54</v>
      </c>
      <c r="F23" s="143"/>
      <c r="H23"/>
      <c r="I23"/>
    </row>
    <row r="24" spans="2:9" s="2" customFormat="1" ht="29.1" hidden="1" customHeight="1">
      <c r="B24" s="126"/>
      <c r="C24" s="124"/>
      <c r="D24" s="181"/>
      <c r="E24" s="93"/>
      <c r="F24" s="145"/>
      <c r="H24"/>
      <c r="I24"/>
    </row>
    <row r="25" spans="2:9" ht="21">
      <c r="B25" s="200" t="s">
        <v>364</v>
      </c>
      <c r="G25" s="2" t="s">
        <v>369</v>
      </c>
    </row>
    <row r="26" spans="2:9" s="2" customFormat="1">
      <c r="B26" s="1"/>
      <c r="C26"/>
      <c r="D26"/>
      <c r="E26" s="3"/>
      <c r="F26" s="3"/>
      <c r="G26" s="2" t="s">
        <v>370</v>
      </c>
      <c r="H26"/>
      <c r="I26"/>
    </row>
    <row r="27" spans="2:9" ht="52.35" customHeight="1">
      <c r="G27" s="375" t="s">
        <v>392</v>
      </c>
      <c r="H27" s="375"/>
    </row>
    <row r="31" spans="2:9">
      <c r="G31" t="s">
        <v>339</v>
      </c>
    </row>
    <row r="32" spans="2:9">
      <c r="G32" t="s">
        <v>340</v>
      </c>
    </row>
    <row r="33" spans="7:7">
      <c r="G33" t="s">
        <v>341</v>
      </c>
    </row>
    <row r="34" spans="7:7">
      <c r="G34" t="s">
        <v>342</v>
      </c>
    </row>
    <row r="35" spans="7:7">
      <c r="G35" t="s">
        <v>343</v>
      </c>
    </row>
    <row r="36" spans="7:7">
      <c r="G36" t="s">
        <v>344</v>
      </c>
    </row>
    <row r="37" spans="7:7">
      <c r="G37" t="s">
        <v>395</v>
      </c>
    </row>
  </sheetData>
  <mergeCells count="17">
    <mergeCell ref="F2:G2"/>
    <mergeCell ref="F8:G8"/>
    <mergeCell ref="B9:B11"/>
    <mergeCell ref="C9:C11"/>
    <mergeCell ref="E9:E11"/>
    <mergeCell ref="D6:D7"/>
    <mergeCell ref="E6:E7"/>
    <mergeCell ref="B3:B4"/>
    <mergeCell ref="C3:C4"/>
    <mergeCell ref="D3:D4"/>
    <mergeCell ref="E3:E4"/>
    <mergeCell ref="F3:G4"/>
    <mergeCell ref="B14:E14"/>
    <mergeCell ref="B22:E22"/>
    <mergeCell ref="B5:B7"/>
    <mergeCell ref="D9:D11"/>
    <mergeCell ref="G27:H27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B1:N47"/>
  <sheetViews>
    <sheetView topLeftCell="B1" zoomScale="70" zoomScaleNormal="70" workbookViewId="0">
      <pane xSplit="1" ySplit="2" topLeftCell="C5" activePane="bottomRight" state="frozen"/>
      <selection activeCell="B1" sqref="B1"/>
      <selection pane="topRight" activeCell="C1" sqref="C1"/>
      <selection pane="bottomLeft" activeCell="B3" sqref="B3"/>
      <selection pane="bottomRight" activeCell="G13" sqref="G13"/>
    </sheetView>
  </sheetViews>
  <sheetFormatPr defaultRowHeight="17.399999999999999"/>
  <cols>
    <col min="1" max="1" width="4.8984375" customWidth="1"/>
    <col min="2" max="2" width="8.09765625" style="1" customWidth="1"/>
    <col min="3" max="3" width="48.09765625" hidden="1" customWidth="1"/>
    <col min="4" max="4" width="32.5" customWidth="1"/>
    <col min="5" max="5" width="33.5" style="3" customWidth="1"/>
    <col min="6" max="6" width="11" style="3" customWidth="1"/>
    <col min="7" max="7" width="61.59765625" style="2" customWidth="1"/>
    <col min="8" max="8" width="53.296875" customWidth="1"/>
    <col min="9" max="9" width="46.796875" customWidth="1"/>
  </cols>
  <sheetData>
    <row r="1" spans="2:14" ht="25.2">
      <c r="B1" s="88" t="s">
        <v>71</v>
      </c>
      <c r="C1" s="88"/>
      <c r="D1" s="88"/>
      <c r="E1" s="88"/>
      <c r="F1" s="141"/>
    </row>
    <row r="2" spans="2:14" s="1" customFormat="1" ht="43.8" customHeight="1">
      <c r="B2" s="228" t="s">
        <v>2</v>
      </c>
      <c r="C2" s="231" t="s">
        <v>438</v>
      </c>
      <c r="D2" s="224" t="s">
        <v>0</v>
      </c>
      <c r="E2" s="229" t="s">
        <v>1</v>
      </c>
      <c r="F2" s="391" t="s">
        <v>401</v>
      </c>
      <c r="G2" s="392"/>
      <c r="H2" s="298" t="s">
        <v>440</v>
      </c>
      <c r="I2" s="290" t="s">
        <v>503</v>
      </c>
    </row>
    <row r="3" spans="2:14" ht="87">
      <c r="B3" s="340" t="s">
        <v>3</v>
      </c>
      <c r="C3" s="394" t="s">
        <v>402</v>
      </c>
      <c r="D3" s="397" t="s">
        <v>435</v>
      </c>
      <c r="E3" s="387" t="s">
        <v>435</v>
      </c>
      <c r="F3" s="402" t="s">
        <v>434</v>
      </c>
      <c r="G3" s="403"/>
      <c r="H3" s="299" t="s">
        <v>524</v>
      </c>
      <c r="I3" s="112" t="s">
        <v>523</v>
      </c>
      <c r="K3" s="375" t="s">
        <v>543</v>
      </c>
      <c r="L3" s="375"/>
      <c r="M3" s="375"/>
      <c r="N3" s="375"/>
    </row>
    <row r="4" spans="2:14" ht="34.799999999999997">
      <c r="B4" s="341"/>
      <c r="C4" s="395"/>
      <c r="D4" s="398"/>
      <c r="E4" s="400"/>
      <c r="F4" s="404"/>
      <c r="G4" s="405"/>
      <c r="H4" s="300" t="s">
        <v>509</v>
      </c>
      <c r="I4" s="112" t="s">
        <v>508</v>
      </c>
    </row>
    <row r="5" spans="2:14" ht="52.8" thickBot="1">
      <c r="B5" s="393"/>
      <c r="C5" s="396"/>
      <c r="D5" s="399"/>
      <c r="E5" s="401"/>
      <c r="F5" s="406"/>
      <c r="G5" s="407"/>
      <c r="H5" s="301" t="s">
        <v>525</v>
      </c>
      <c r="I5" s="267" t="s">
        <v>526</v>
      </c>
    </row>
    <row r="6" spans="2:14" ht="27.6" customHeight="1">
      <c r="B6" s="408" t="s">
        <v>4</v>
      </c>
      <c r="C6" s="410" t="s">
        <v>403</v>
      </c>
      <c r="D6" s="413" t="s">
        <v>436</v>
      </c>
      <c r="E6" s="415" t="s">
        <v>404</v>
      </c>
      <c r="F6" s="268" t="s">
        <v>160</v>
      </c>
      <c r="G6" s="291" t="s">
        <v>247</v>
      </c>
      <c r="H6" s="311" t="s">
        <v>546</v>
      </c>
      <c r="I6" s="269" t="s">
        <v>549</v>
      </c>
      <c r="J6" s="207"/>
      <c r="K6" s="208"/>
    </row>
    <row r="7" spans="2:14" ht="34.799999999999997">
      <c r="B7" s="351"/>
      <c r="C7" s="411"/>
      <c r="D7" s="414"/>
      <c r="E7" s="416"/>
      <c r="F7" s="215" t="s">
        <v>208</v>
      </c>
      <c r="G7" s="292" t="s">
        <v>510</v>
      </c>
      <c r="H7" s="312" t="s">
        <v>547</v>
      </c>
      <c r="I7" s="233"/>
    </row>
    <row r="8" spans="2:14" ht="87">
      <c r="B8" s="351"/>
      <c r="C8" s="411"/>
      <c r="D8" s="417" t="s">
        <v>439</v>
      </c>
      <c r="E8" s="419" t="s">
        <v>405</v>
      </c>
      <c r="F8" s="227" t="s">
        <v>159</v>
      </c>
      <c r="G8" s="253" t="s">
        <v>512</v>
      </c>
      <c r="H8" s="313" t="s">
        <v>551</v>
      </c>
      <c r="I8" s="233" t="s">
        <v>552</v>
      </c>
    </row>
    <row r="9" spans="2:14" s="3" customFormat="1" ht="35.4" thickBot="1">
      <c r="B9" s="409"/>
      <c r="C9" s="412"/>
      <c r="D9" s="418"/>
      <c r="E9" s="420"/>
      <c r="F9" s="270" t="s">
        <v>60</v>
      </c>
      <c r="G9" s="293" t="s">
        <v>433</v>
      </c>
      <c r="H9" s="314" t="s">
        <v>548</v>
      </c>
      <c r="I9" s="271" t="s">
        <v>550</v>
      </c>
    </row>
    <row r="10" spans="2:14" s="3" customFormat="1" ht="52.2">
      <c r="B10" s="434" t="s">
        <v>5</v>
      </c>
      <c r="C10" s="435" t="s">
        <v>406</v>
      </c>
      <c r="D10" s="421" t="s">
        <v>443</v>
      </c>
      <c r="E10" s="423" t="s">
        <v>442</v>
      </c>
      <c r="F10" s="272" t="s">
        <v>505</v>
      </c>
      <c r="G10" s="294" t="s">
        <v>504</v>
      </c>
      <c r="H10" s="309" t="s">
        <v>553</v>
      </c>
      <c r="I10" s="302" t="s">
        <v>527</v>
      </c>
    </row>
    <row r="11" spans="2:14" s="3" customFormat="1" ht="33.6" customHeight="1" thickBot="1">
      <c r="B11" s="393"/>
      <c r="C11" s="436"/>
      <c r="D11" s="422"/>
      <c r="E11" s="424"/>
      <c r="F11" s="270" t="s">
        <v>506</v>
      </c>
      <c r="G11" s="295" t="s">
        <v>511</v>
      </c>
      <c r="H11" s="310" t="s">
        <v>507</v>
      </c>
      <c r="I11" s="273" t="s">
        <v>542</v>
      </c>
    </row>
    <row r="12" spans="2:14" ht="38.4">
      <c r="B12" s="351" t="s">
        <v>6</v>
      </c>
      <c r="C12" s="426" t="s">
        <v>407</v>
      </c>
      <c r="D12" s="429" t="s">
        <v>444</v>
      </c>
      <c r="E12" s="432" t="s">
        <v>437</v>
      </c>
      <c r="F12" s="216" t="s">
        <v>60</v>
      </c>
      <c r="G12" s="296" t="s">
        <v>248</v>
      </c>
      <c r="H12" s="315" t="s">
        <v>545</v>
      </c>
      <c r="I12" s="437"/>
    </row>
    <row r="13" spans="2:14" ht="45" customHeight="1">
      <c r="B13" s="351"/>
      <c r="C13" s="427"/>
      <c r="D13" s="430"/>
      <c r="E13" s="432"/>
      <c r="F13" s="217" t="s">
        <v>4</v>
      </c>
      <c r="G13" s="296" t="s">
        <v>235</v>
      </c>
      <c r="H13" s="316"/>
      <c r="I13" s="380"/>
    </row>
    <row r="14" spans="2:14" ht="17.399999999999999" customHeight="1">
      <c r="B14" s="352"/>
      <c r="C14" s="428"/>
      <c r="D14" s="431"/>
      <c r="E14" s="433"/>
      <c r="F14" s="218" t="s">
        <v>160</v>
      </c>
      <c r="G14" s="297" t="s">
        <v>249</v>
      </c>
      <c r="H14" s="317"/>
      <c r="I14" s="381"/>
    </row>
    <row r="16" spans="2:14">
      <c r="G16"/>
    </row>
    <row r="17" spans="2:9" ht="25.35" hidden="1" customHeight="1">
      <c r="B17" s="357" t="s">
        <v>117</v>
      </c>
      <c r="C17" s="357"/>
      <c r="D17" s="357"/>
      <c r="E17" s="357"/>
      <c r="F17" s="142"/>
    </row>
    <row r="18" spans="2:9" ht="17.399999999999999" hidden="1" customHeight="1">
      <c r="B18" s="211" t="s">
        <v>47</v>
      </c>
      <c r="C18" s="7" t="s">
        <v>32</v>
      </c>
      <c r="D18" s="7"/>
      <c r="E18" s="211" t="s">
        <v>7</v>
      </c>
      <c r="F18" s="143"/>
    </row>
    <row r="19" spans="2:9" hidden="1">
      <c r="B19" s="68">
        <v>1</v>
      </c>
      <c r="C19" s="69"/>
      <c r="D19" s="179"/>
      <c r="E19" s="212"/>
      <c r="F19" s="144"/>
    </row>
    <row r="20" spans="2:9" hidden="1">
      <c r="B20" s="68">
        <v>2</v>
      </c>
      <c r="C20" s="69"/>
      <c r="D20" s="179"/>
      <c r="E20" s="212"/>
      <c r="F20" s="144"/>
    </row>
    <row r="21" spans="2:9" hidden="1">
      <c r="B21" s="70">
        <v>3</v>
      </c>
      <c r="C21" s="74"/>
      <c r="D21" s="180"/>
      <c r="E21" s="212"/>
      <c r="F21" s="144"/>
      <c r="G21" s="89"/>
    </row>
    <row r="22" spans="2:9" hidden="1">
      <c r="B22" s="91">
        <v>4</v>
      </c>
      <c r="C22" s="90"/>
      <c r="D22" s="90"/>
      <c r="E22" s="67"/>
      <c r="F22" s="144"/>
      <c r="G22" s="89"/>
    </row>
    <row r="23" spans="2:9" hidden="1">
      <c r="C23" s="2"/>
      <c r="D23" s="2"/>
      <c r="E23"/>
      <c r="F23"/>
      <c r="G23" s="89"/>
    </row>
    <row r="24" spans="2:9" hidden="1">
      <c r="C24" s="2"/>
      <c r="D24" s="2"/>
      <c r="E24"/>
      <c r="F24"/>
    </row>
    <row r="25" spans="2:9" s="2" customFormat="1" ht="25.2" hidden="1">
      <c r="B25" s="357" t="s">
        <v>104</v>
      </c>
      <c r="C25" s="357"/>
      <c r="D25" s="357"/>
      <c r="E25" s="357"/>
      <c r="F25" s="142"/>
      <c r="H25"/>
      <c r="I25"/>
    </row>
    <row r="26" spans="2:9" s="2" customFormat="1" hidden="1">
      <c r="B26" s="211" t="s">
        <v>2</v>
      </c>
      <c r="C26" s="211" t="s">
        <v>53</v>
      </c>
      <c r="D26" s="23"/>
      <c r="E26" s="23" t="s">
        <v>54</v>
      </c>
      <c r="F26" s="143"/>
      <c r="H26"/>
      <c r="I26"/>
    </row>
    <row r="27" spans="2:9" s="2" customFormat="1" ht="29.1" hidden="1" customHeight="1">
      <c r="B27" s="210"/>
      <c r="C27" s="213"/>
      <c r="D27" s="214"/>
      <c r="E27" s="93"/>
      <c r="F27" s="145"/>
      <c r="H27"/>
      <c r="I27"/>
    </row>
    <row r="28" spans="2:9" ht="25.2">
      <c r="B28" s="230" t="s">
        <v>364</v>
      </c>
      <c r="H28" s="2" t="s">
        <v>441</v>
      </c>
    </row>
    <row r="29" spans="2:9" s="2" customFormat="1">
      <c r="B29" s="1"/>
      <c r="C29"/>
      <c r="D29"/>
      <c r="E29" s="3"/>
      <c r="F29" s="3"/>
      <c r="H29" s="2" t="s">
        <v>370</v>
      </c>
      <c r="I29"/>
    </row>
    <row r="30" spans="2:9" ht="52.35" customHeight="1">
      <c r="H30" s="425" t="s">
        <v>392</v>
      </c>
      <c r="I30" s="425"/>
    </row>
    <row r="31" spans="2:9">
      <c r="H31" s="2"/>
    </row>
    <row r="32" spans="2:9">
      <c r="H32" t="s">
        <v>339</v>
      </c>
    </row>
    <row r="33" spans="7:8">
      <c r="H33" t="s">
        <v>340</v>
      </c>
    </row>
    <row r="34" spans="7:8">
      <c r="H34" t="s">
        <v>341</v>
      </c>
    </row>
    <row r="35" spans="7:8">
      <c r="H35" t="s">
        <v>342</v>
      </c>
    </row>
    <row r="36" spans="7:8">
      <c r="H36" t="s">
        <v>343</v>
      </c>
    </row>
    <row r="37" spans="7:8">
      <c r="H37" t="s">
        <v>344</v>
      </c>
    </row>
    <row r="38" spans="7:8">
      <c r="H38" t="s">
        <v>395</v>
      </c>
    </row>
    <row r="43" spans="7:8">
      <c r="G43"/>
    </row>
    <row r="47" spans="7:8">
      <c r="G47"/>
    </row>
  </sheetData>
  <mergeCells count="25">
    <mergeCell ref="D10:D11"/>
    <mergeCell ref="E10:E11"/>
    <mergeCell ref="H30:I30"/>
    <mergeCell ref="B17:E17"/>
    <mergeCell ref="B25:E25"/>
    <mergeCell ref="B12:B14"/>
    <mergeCell ref="C12:C14"/>
    <mergeCell ref="D12:D14"/>
    <mergeCell ref="E12:E14"/>
    <mergeCell ref="B10:B11"/>
    <mergeCell ref="C10:C11"/>
    <mergeCell ref="I12:I14"/>
    <mergeCell ref="B6:B9"/>
    <mergeCell ref="C6:C9"/>
    <mergeCell ref="D6:D7"/>
    <mergeCell ref="E6:E7"/>
    <mergeCell ref="D8:D9"/>
    <mergeCell ref="E8:E9"/>
    <mergeCell ref="K3:N3"/>
    <mergeCell ref="F2:G2"/>
    <mergeCell ref="B3:B5"/>
    <mergeCell ref="C3:C5"/>
    <mergeCell ref="D3:D5"/>
    <mergeCell ref="E3:E5"/>
    <mergeCell ref="F3:G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B1:N47"/>
  <sheetViews>
    <sheetView tabSelected="1"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E6" sqref="E6:E7"/>
    </sheetView>
  </sheetViews>
  <sheetFormatPr defaultRowHeight="17.399999999999999"/>
  <cols>
    <col min="1" max="1" width="4.8984375" customWidth="1"/>
    <col min="2" max="2" width="8.09765625" style="289" customWidth="1"/>
    <col min="3" max="3" width="48.09765625" hidden="1" customWidth="1"/>
    <col min="4" max="4" width="28.59765625" customWidth="1"/>
    <col min="5" max="5" width="38.8984375" style="3" customWidth="1"/>
    <col min="6" max="6" width="11" style="3" customWidth="1"/>
    <col min="7" max="7" width="57.296875" style="2" customWidth="1"/>
    <col min="8" max="8" width="53.296875" customWidth="1"/>
    <col min="9" max="9" width="46.796875" customWidth="1"/>
  </cols>
  <sheetData>
    <row r="1" spans="2:14" ht="25.2">
      <c r="C1" s="88"/>
      <c r="D1" s="88" t="s">
        <v>675</v>
      </c>
      <c r="E1" s="88"/>
      <c r="F1" s="88"/>
      <c r="G1" s="88"/>
      <c r="H1" s="88"/>
      <c r="I1" s="88"/>
    </row>
    <row r="2" spans="2:14" s="289" customFormat="1" ht="43.8" customHeight="1">
      <c r="B2" s="228" t="s">
        <v>2</v>
      </c>
      <c r="C2" s="231" t="s">
        <v>438</v>
      </c>
      <c r="D2" s="288" t="s">
        <v>0</v>
      </c>
      <c r="E2" s="229" t="s">
        <v>1</v>
      </c>
      <c r="F2" s="391" t="s">
        <v>566</v>
      </c>
      <c r="G2" s="392"/>
      <c r="H2" s="298" t="s">
        <v>440</v>
      </c>
      <c r="I2" s="290" t="s">
        <v>503</v>
      </c>
    </row>
    <row r="3" spans="2:14" ht="49.8" customHeight="1">
      <c r="B3" s="441" t="s">
        <v>3</v>
      </c>
      <c r="C3" s="394" t="s">
        <v>402</v>
      </c>
      <c r="D3" s="397" t="s">
        <v>560</v>
      </c>
      <c r="E3" s="387" t="s">
        <v>563</v>
      </c>
      <c r="F3" s="402" t="s">
        <v>601</v>
      </c>
      <c r="G3" s="403"/>
      <c r="H3" s="444" t="s">
        <v>435</v>
      </c>
      <c r="I3" s="386"/>
      <c r="K3" s="375"/>
      <c r="L3" s="375"/>
      <c r="M3" s="375"/>
      <c r="N3" s="375"/>
    </row>
    <row r="4" spans="2:14" ht="49.8" customHeight="1" thickBot="1">
      <c r="B4" s="442"/>
      <c r="C4" s="395"/>
      <c r="D4" s="398"/>
      <c r="E4" s="400"/>
      <c r="F4" s="404"/>
      <c r="G4" s="405"/>
      <c r="H4" s="445"/>
      <c r="I4" s="381"/>
    </row>
    <row r="5" spans="2:14" ht="52.8" hidden="1" thickBot="1">
      <c r="B5" s="443"/>
      <c r="C5" s="396"/>
      <c r="D5" s="399"/>
      <c r="E5" s="401"/>
      <c r="F5" s="406"/>
      <c r="G5" s="407"/>
      <c r="H5" s="327" t="s">
        <v>525</v>
      </c>
      <c r="I5" s="267" t="s">
        <v>526</v>
      </c>
    </row>
    <row r="6" spans="2:14" ht="39.6" customHeight="1">
      <c r="B6" s="438" t="s">
        <v>4</v>
      </c>
      <c r="C6" s="410" t="s">
        <v>403</v>
      </c>
      <c r="D6" s="413" t="s">
        <v>559</v>
      </c>
      <c r="E6" s="415" t="s">
        <v>561</v>
      </c>
      <c r="F6" s="268" t="s">
        <v>160</v>
      </c>
      <c r="G6" s="291" t="s">
        <v>247</v>
      </c>
      <c r="H6" s="268"/>
      <c r="I6" s="285"/>
      <c r="J6" s="207"/>
      <c r="K6" s="208"/>
    </row>
    <row r="7" spans="2:14" ht="53.4" customHeight="1">
      <c r="B7" s="439"/>
      <c r="C7" s="411"/>
      <c r="D7" s="414"/>
      <c r="E7" s="416"/>
      <c r="F7" s="215" t="s">
        <v>208</v>
      </c>
      <c r="G7" s="292" t="s">
        <v>510</v>
      </c>
      <c r="H7" s="497" t="s">
        <v>606</v>
      </c>
      <c r="I7" s="335" t="s">
        <v>673</v>
      </c>
    </row>
    <row r="8" spans="2:14" ht="52.2">
      <c r="B8" s="439"/>
      <c r="C8" s="411"/>
      <c r="D8" s="417" t="s">
        <v>558</v>
      </c>
      <c r="E8" s="419" t="s">
        <v>562</v>
      </c>
      <c r="F8" s="227" t="s">
        <v>159</v>
      </c>
      <c r="G8" s="286" t="s">
        <v>603</v>
      </c>
      <c r="H8" s="328" t="s">
        <v>607</v>
      </c>
      <c r="I8" s="335" t="s">
        <v>604</v>
      </c>
    </row>
    <row r="9" spans="2:14" s="3" customFormat="1" ht="35.4" thickBot="1">
      <c r="B9" s="440"/>
      <c r="C9" s="412"/>
      <c r="D9" s="418"/>
      <c r="E9" s="420"/>
      <c r="F9" s="270" t="s">
        <v>60</v>
      </c>
      <c r="G9" s="293" t="s">
        <v>433</v>
      </c>
      <c r="H9" s="329" t="s">
        <v>605</v>
      </c>
      <c r="I9" s="271"/>
    </row>
    <row r="10" spans="2:14" s="3" customFormat="1" ht="52.2">
      <c r="B10" s="446" t="s">
        <v>5</v>
      </c>
      <c r="C10" s="435" t="s">
        <v>406</v>
      </c>
      <c r="D10" s="421" t="s">
        <v>321</v>
      </c>
      <c r="E10" s="423"/>
      <c r="F10" s="272" t="s">
        <v>505</v>
      </c>
      <c r="G10" s="294" t="s">
        <v>602</v>
      </c>
      <c r="H10" s="333" t="s">
        <v>597</v>
      </c>
      <c r="I10" s="525" t="s">
        <v>674</v>
      </c>
    </row>
    <row r="11" spans="2:14" s="3" customFormat="1" ht="33.6" customHeight="1" thickBot="1">
      <c r="B11" s="443"/>
      <c r="C11" s="436"/>
      <c r="D11" s="422"/>
      <c r="E11" s="424"/>
      <c r="F11" s="270" t="s">
        <v>506</v>
      </c>
      <c r="G11" s="295" t="s">
        <v>511</v>
      </c>
      <c r="H11" s="330"/>
      <c r="I11" s="273"/>
    </row>
    <row r="12" spans="2:14" ht="19.2">
      <c r="B12" s="439" t="s">
        <v>6</v>
      </c>
      <c r="C12" s="426" t="s">
        <v>407</v>
      </c>
      <c r="D12" s="429" t="s">
        <v>564</v>
      </c>
      <c r="E12" s="432" t="s">
        <v>565</v>
      </c>
      <c r="F12" s="216" t="s">
        <v>60</v>
      </c>
      <c r="G12" s="296" t="s">
        <v>248</v>
      </c>
      <c r="H12" s="331" t="s">
        <v>600</v>
      </c>
      <c r="I12" s="437"/>
    </row>
    <row r="13" spans="2:14" ht="45" customHeight="1">
      <c r="B13" s="439"/>
      <c r="C13" s="427"/>
      <c r="D13" s="430"/>
      <c r="E13" s="432"/>
      <c r="F13" s="217" t="s">
        <v>4</v>
      </c>
      <c r="G13" s="296" t="s">
        <v>235</v>
      </c>
      <c r="H13" s="332"/>
      <c r="I13" s="380"/>
    </row>
    <row r="14" spans="2:14" ht="17.399999999999999" customHeight="1">
      <c r="B14" s="447"/>
      <c r="C14" s="428"/>
      <c r="D14" s="431"/>
      <c r="E14" s="433"/>
      <c r="F14" s="218" t="s">
        <v>160</v>
      </c>
      <c r="G14" s="297" t="s">
        <v>249</v>
      </c>
      <c r="H14" s="332"/>
      <c r="I14" s="381"/>
    </row>
    <row r="16" spans="2:14">
      <c r="G16"/>
    </row>
    <row r="17" spans="2:9" ht="25.35" hidden="1" customHeight="1">
      <c r="B17" s="357" t="s">
        <v>117</v>
      </c>
      <c r="C17" s="357"/>
      <c r="D17" s="357"/>
      <c r="E17" s="357"/>
      <c r="F17" s="142"/>
    </row>
    <row r="18" spans="2:9" ht="17.399999999999999" hidden="1" customHeight="1">
      <c r="B18" s="279" t="s">
        <v>47</v>
      </c>
      <c r="C18" s="7" t="s">
        <v>32</v>
      </c>
      <c r="D18" s="7"/>
      <c r="E18" s="279" t="s">
        <v>7</v>
      </c>
      <c r="F18" s="143"/>
    </row>
    <row r="19" spans="2:9" hidden="1">
      <c r="B19" s="68">
        <v>1</v>
      </c>
      <c r="C19" s="69"/>
      <c r="D19" s="179"/>
      <c r="E19" s="281"/>
      <c r="F19" s="144"/>
    </row>
    <row r="20" spans="2:9" hidden="1">
      <c r="B20" s="68">
        <v>2</v>
      </c>
      <c r="C20" s="69"/>
      <c r="D20" s="179"/>
      <c r="E20" s="281"/>
      <c r="F20" s="144"/>
    </row>
    <row r="21" spans="2:9" hidden="1">
      <c r="B21" s="70">
        <v>3</v>
      </c>
      <c r="C21" s="74"/>
      <c r="D21" s="180"/>
      <c r="E21" s="281"/>
      <c r="F21" s="144"/>
      <c r="G21" s="89"/>
    </row>
    <row r="22" spans="2:9" hidden="1">
      <c r="B22" s="91">
        <v>4</v>
      </c>
      <c r="C22" s="90"/>
      <c r="D22" s="90"/>
      <c r="E22" s="67"/>
      <c r="F22" s="144"/>
      <c r="G22" s="89"/>
    </row>
    <row r="23" spans="2:9" hidden="1">
      <c r="C23" s="2"/>
      <c r="D23" s="2"/>
      <c r="E23"/>
      <c r="F23"/>
      <c r="G23" s="89"/>
    </row>
    <row r="24" spans="2:9" hidden="1">
      <c r="C24" s="2"/>
      <c r="D24" s="2"/>
      <c r="E24"/>
      <c r="F24"/>
    </row>
    <row r="25" spans="2:9" s="2" customFormat="1" ht="25.2" hidden="1">
      <c r="B25" s="357" t="s">
        <v>104</v>
      </c>
      <c r="C25" s="357"/>
      <c r="D25" s="357"/>
      <c r="E25" s="357"/>
      <c r="F25" s="142"/>
      <c r="H25"/>
      <c r="I25"/>
    </row>
    <row r="26" spans="2:9" s="2" customFormat="1" hidden="1">
      <c r="B26" s="279" t="s">
        <v>2</v>
      </c>
      <c r="C26" s="279" t="s">
        <v>53</v>
      </c>
      <c r="D26" s="23"/>
      <c r="E26" s="23" t="s">
        <v>54</v>
      </c>
      <c r="F26" s="143"/>
      <c r="H26"/>
      <c r="I26"/>
    </row>
    <row r="27" spans="2:9" s="2" customFormat="1" ht="29.1" hidden="1" customHeight="1">
      <c r="B27" s="278"/>
      <c r="C27" s="280"/>
      <c r="D27" s="284"/>
      <c r="E27" s="93"/>
      <c r="F27" s="145"/>
      <c r="H27"/>
      <c r="I27"/>
    </row>
    <row r="28" spans="2:9" ht="25.2">
      <c r="D28" s="230" t="s">
        <v>364</v>
      </c>
      <c r="H28" s="2"/>
    </row>
    <row r="29" spans="2:9" s="2" customFormat="1">
      <c r="B29" s="289"/>
      <c r="C29"/>
      <c r="D29"/>
      <c r="E29" s="3"/>
      <c r="F29" s="3"/>
      <c r="I29"/>
    </row>
    <row r="30" spans="2:9" ht="52.35" customHeight="1">
      <c r="H30" s="425"/>
      <c r="I30" s="425"/>
    </row>
    <row r="31" spans="2:9">
      <c r="H31" s="2"/>
    </row>
    <row r="43" spans="7:7">
      <c r="G43"/>
    </row>
    <row r="47" spans="7:7">
      <c r="G47"/>
    </row>
  </sheetData>
  <mergeCells count="27">
    <mergeCell ref="I12:I14"/>
    <mergeCell ref="B17:E17"/>
    <mergeCell ref="B25:E25"/>
    <mergeCell ref="H30:I30"/>
    <mergeCell ref="B10:B11"/>
    <mergeCell ref="C10:C11"/>
    <mergeCell ref="D10:D11"/>
    <mergeCell ref="E10:E11"/>
    <mergeCell ref="B12:B14"/>
    <mergeCell ref="C12:C14"/>
    <mergeCell ref="D12:D14"/>
    <mergeCell ref="E12:E14"/>
    <mergeCell ref="F2:G2"/>
    <mergeCell ref="I3:I4"/>
    <mergeCell ref="K3:N3"/>
    <mergeCell ref="B6:B9"/>
    <mergeCell ref="C6:C9"/>
    <mergeCell ref="D6:D7"/>
    <mergeCell ref="E6:E7"/>
    <mergeCell ref="D8:D9"/>
    <mergeCell ref="E8:E9"/>
    <mergeCell ref="B3:B5"/>
    <mergeCell ref="C3:C5"/>
    <mergeCell ref="D3:D5"/>
    <mergeCell ref="E3:E5"/>
    <mergeCell ref="F3:G5"/>
    <mergeCell ref="H3:H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zoomScale="70" zoomScaleNormal="70" workbookViewId="0">
      <selection activeCell="G9" sqref="G9:H10"/>
    </sheetView>
  </sheetViews>
  <sheetFormatPr defaultRowHeight="17.399999999999999"/>
  <cols>
    <col min="2" max="2" width="35.5" customWidth="1"/>
    <col min="3" max="3" width="35.296875" customWidth="1"/>
    <col min="4" max="4" width="36.09765625" customWidth="1"/>
    <col min="5" max="5" width="12.296875" customWidth="1"/>
    <col min="6" max="6" width="31.8984375" customWidth="1"/>
    <col min="7" max="7" width="12.3984375" bestFit="1" customWidth="1"/>
    <col min="8" max="8" width="54.796875" customWidth="1"/>
    <col min="9" max="9" width="20.8984375" customWidth="1"/>
  </cols>
  <sheetData>
    <row r="1" spans="1:9" ht="21">
      <c r="A1" s="452" t="s">
        <v>2</v>
      </c>
      <c r="B1" s="453" t="s">
        <v>80</v>
      </c>
      <c r="C1" s="453"/>
      <c r="D1" s="453"/>
      <c r="E1" s="453"/>
      <c r="F1" s="453"/>
      <c r="G1" s="453"/>
      <c r="H1" s="453"/>
      <c r="I1" s="453"/>
    </row>
    <row r="2" spans="1:9" ht="21">
      <c r="A2" s="452"/>
      <c r="B2" s="320" t="s">
        <v>81</v>
      </c>
      <c r="C2" s="320" t="s">
        <v>141</v>
      </c>
      <c r="D2" s="320" t="s">
        <v>142</v>
      </c>
      <c r="E2" s="458" t="s">
        <v>143</v>
      </c>
      <c r="F2" s="459"/>
      <c r="G2" s="458" t="s">
        <v>144</v>
      </c>
      <c r="H2" s="459"/>
      <c r="I2" s="320" t="s">
        <v>145</v>
      </c>
    </row>
    <row r="3" spans="1:9" ht="161.4" customHeight="1">
      <c r="A3" s="287" t="s">
        <v>3</v>
      </c>
      <c r="B3" s="209" t="s">
        <v>82</v>
      </c>
      <c r="C3" s="212" t="s">
        <v>105</v>
      </c>
      <c r="D3" s="212" t="s">
        <v>386</v>
      </c>
      <c r="E3" s="460" t="s">
        <v>677</v>
      </c>
      <c r="F3" s="461"/>
      <c r="G3" s="465" t="s">
        <v>556</v>
      </c>
      <c r="H3" s="466"/>
      <c r="I3" s="212"/>
    </row>
    <row r="4" spans="1:9" ht="34.799999999999997" customHeight="1">
      <c r="A4" s="448" t="s">
        <v>83</v>
      </c>
      <c r="B4" s="454" t="s">
        <v>49</v>
      </c>
      <c r="C4" s="455" t="s">
        <v>126</v>
      </c>
      <c r="D4" s="455" t="s">
        <v>387</v>
      </c>
      <c r="E4" s="22" t="s">
        <v>160</v>
      </c>
      <c r="F4" s="21" t="s">
        <v>397</v>
      </c>
      <c r="G4" s="67" t="s">
        <v>160</v>
      </c>
      <c r="H4" s="21" t="s">
        <v>546</v>
      </c>
      <c r="I4" s="455"/>
    </row>
    <row r="5" spans="1:9" ht="34.799999999999997">
      <c r="A5" s="448"/>
      <c r="B5" s="454"/>
      <c r="C5" s="455"/>
      <c r="D5" s="455"/>
      <c r="E5" s="22" t="s">
        <v>212</v>
      </c>
      <c r="F5" s="21" t="s">
        <v>368</v>
      </c>
      <c r="G5" s="22" t="s">
        <v>212</v>
      </c>
      <c r="H5" s="67" t="s">
        <v>551</v>
      </c>
      <c r="I5" s="455"/>
    </row>
    <row r="6" spans="1:9" ht="52.2">
      <c r="A6" s="448"/>
      <c r="B6" s="454"/>
      <c r="C6" s="455"/>
      <c r="D6" s="455"/>
      <c r="E6" s="22" t="s">
        <v>60</v>
      </c>
      <c r="F6" s="21" t="s">
        <v>394</v>
      </c>
      <c r="G6" s="22" t="s">
        <v>60</v>
      </c>
      <c r="H6" s="283" t="s">
        <v>548</v>
      </c>
      <c r="I6" s="455"/>
    </row>
    <row r="7" spans="1:9" ht="57.6" customHeight="1">
      <c r="A7" s="448" t="s">
        <v>5</v>
      </c>
      <c r="B7" s="338" t="s">
        <v>84</v>
      </c>
      <c r="C7" s="456" t="s">
        <v>676</v>
      </c>
      <c r="D7" s="456" t="s">
        <v>385</v>
      </c>
      <c r="E7" s="117" t="s">
        <v>505</v>
      </c>
      <c r="F7" s="150" t="s">
        <v>678</v>
      </c>
      <c r="G7" s="318" t="s">
        <v>505</v>
      </c>
      <c r="H7" s="319" t="s">
        <v>553</v>
      </c>
      <c r="I7" s="450"/>
    </row>
    <row r="8" spans="1:9" ht="42" customHeight="1">
      <c r="A8" s="448"/>
      <c r="B8" s="339"/>
      <c r="C8" s="457"/>
      <c r="D8" s="457"/>
      <c r="E8" s="117" t="s">
        <v>506</v>
      </c>
      <c r="F8" s="282" t="s">
        <v>554</v>
      </c>
      <c r="G8" s="318" t="s">
        <v>506</v>
      </c>
      <c r="H8" s="319" t="s">
        <v>507</v>
      </c>
      <c r="I8" s="451"/>
    </row>
    <row r="9" spans="1:9" ht="35.1" customHeight="1">
      <c r="A9" s="449" t="s">
        <v>6</v>
      </c>
      <c r="B9" s="345" t="s">
        <v>50</v>
      </c>
      <c r="C9" s="343" t="s">
        <v>555</v>
      </c>
      <c r="D9" s="343" t="s">
        <v>388</v>
      </c>
      <c r="E9" s="462" t="s">
        <v>398</v>
      </c>
      <c r="F9" s="397"/>
      <c r="G9" s="467" t="s">
        <v>557</v>
      </c>
      <c r="H9" s="468"/>
      <c r="I9" s="343"/>
    </row>
    <row r="10" spans="1:9">
      <c r="A10" s="448"/>
      <c r="B10" s="339"/>
      <c r="C10" s="451"/>
      <c r="D10" s="451"/>
      <c r="E10" s="463"/>
      <c r="F10" s="464"/>
      <c r="G10" s="368"/>
      <c r="H10" s="369"/>
      <c r="I10" s="451"/>
    </row>
    <row r="12" spans="1:9">
      <c r="G12" s="208"/>
    </row>
    <row r="13" spans="1:9">
      <c r="D13" s="3"/>
      <c r="E13" s="3"/>
    </row>
    <row r="14" spans="1:9">
      <c r="D14" s="3"/>
      <c r="E14" s="3"/>
      <c r="G14" s="219"/>
      <c r="H14" s="219"/>
    </row>
    <row r="15" spans="1:9">
      <c r="D15" s="3"/>
      <c r="E15" s="3"/>
      <c r="G15" s="220"/>
      <c r="H15" s="220"/>
    </row>
    <row r="16" spans="1:9">
      <c r="G16" s="220"/>
      <c r="H16" s="220"/>
    </row>
    <row r="17" spans="7:8">
      <c r="G17" s="220"/>
      <c r="H17" s="220"/>
    </row>
    <row r="18" spans="7:8">
      <c r="G18" s="221"/>
      <c r="H18" s="221"/>
    </row>
    <row r="19" spans="7:8">
      <c r="G19" s="220"/>
      <c r="H19" s="220"/>
    </row>
    <row r="20" spans="7:8">
      <c r="G20" s="220"/>
      <c r="H20" s="220"/>
    </row>
    <row r="21" spans="7:8">
      <c r="G21" s="220"/>
      <c r="H21" s="220"/>
    </row>
  </sheetData>
  <mergeCells count="23">
    <mergeCell ref="I7:I8"/>
    <mergeCell ref="I9:I10"/>
    <mergeCell ref="D7:D8"/>
    <mergeCell ref="E2:F2"/>
    <mergeCell ref="E3:F3"/>
    <mergeCell ref="E9:F10"/>
    <mergeCell ref="G2:H2"/>
    <mergeCell ref="G3:H3"/>
    <mergeCell ref="G9:H10"/>
    <mergeCell ref="D9:D10"/>
    <mergeCell ref="A1:A2"/>
    <mergeCell ref="B1:I1"/>
    <mergeCell ref="A4:A6"/>
    <mergeCell ref="B4:B6"/>
    <mergeCell ref="C4:C6"/>
    <mergeCell ref="D4:D6"/>
    <mergeCell ref="I4:I6"/>
    <mergeCell ref="A7:A8"/>
    <mergeCell ref="B7:B8"/>
    <mergeCell ref="A9:A10"/>
    <mergeCell ref="B9:B10"/>
    <mergeCell ref="C7:C8"/>
    <mergeCell ref="C9:C10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2:T31"/>
  <sheetViews>
    <sheetView zoomScale="70" zoomScaleNormal="70" workbookViewId="0">
      <selection activeCell="B2" sqref="B2:G3"/>
    </sheetView>
  </sheetViews>
  <sheetFormatPr defaultRowHeight="17.399999999999999"/>
  <cols>
    <col min="2" max="2" width="55.69921875" customWidth="1"/>
    <col min="3" max="4" width="17.69921875" bestFit="1" customWidth="1"/>
    <col min="5" max="6" width="18.59765625" bestFit="1" customWidth="1"/>
    <col min="7" max="7" width="18.59765625" customWidth="1"/>
    <col min="8" max="8" width="22.69921875" bestFit="1" customWidth="1"/>
    <col min="10" max="10" width="7.59765625" bestFit="1" customWidth="1"/>
    <col min="11" max="11" width="10.09765625" bestFit="1" customWidth="1"/>
    <col min="12" max="12" width="11.8984375" bestFit="1" customWidth="1"/>
    <col min="13" max="13" width="17.3984375" bestFit="1" customWidth="1"/>
    <col min="14" max="14" width="19" bestFit="1" customWidth="1"/>
    <col min="15" max="15" width="9.59765625" bestFit="1" customWidth="1"/>
    <col min="16" max="16" width="19" bestFit="1" customWidth="1"/>
    <col min="17" max="17" width="7.59765625" bestFit="1" customWidth="1"/>
    <col min="18" max="18" width="9.3984375" bestFit="1" customWidth="1"/>
  </cols>
  <sheetData>
    <row r="2" spans="2:20" ht="17.399999999999999" customHeight="1">
      <c r="B2" s="492" t="s">
        <v>599</v>
      </c>
      <c r="C2" s="492"/>
      <c r="D2" s="492"/>
      <c r="E2" s="492"/>
      <c r="F2" s="492"/>
      <c r="G2" s="492"/>
      <c r="I2" s="492" t="s">
        <v>598</v>
      </c>
      <c r="J2" s="492"/>
      <c r="K2" s="492"/>
      <c r="L2" s="492"/>
      <c r="M2" s="492"/>
      <c r="N2" s="492"/>
      <c r="O2" s="492"/>
      <c r="P2" s="492"/>
      <c r="Q2" s="492"/>
      <c r="R2" s="492"/>
      <c r="S2" s="492"/>
      <c r="T2" s="492"/>
    </row>
    <row r="3" spans="2:20" ht="17.399999999999999" customHeight="1">
      <c r="B3" s="346"/>
      <c r="C3" s="346"/>
      <c r="D3" s="346"/>
      <c r="E3" s="346"/>
      <c r="F3" s="346"/>
      <c r="G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</row>
    <row r="4" spans="2:20">
      <c r="J4" s="232"/>
      <c r="K4" s="232"/>
      <c r="M4" s="236" t="s">
        <v>486</v>
      </c>
      <c r="N4" s="236" t="s">
        <v>466</v>
      </c>
    </row>
    <row r="5" spans="2:20" ht="19.2">
      <c r="B5" s="334" t="s">
        <v>567</v>
      </c>
      <c r="J5" s="143" t="s">
        <v>60</v>
      </c>
      <c r="K5" s="143" t="s">
        <v>472</v>
      </c>
      <c r="L5" s="143" t="s">
        <v>473</v>
      </c>
      <c r="M5" s="143" t="s">
        <v>474</v>
      </c>
      <c r="N5" s="143" t="s">
        <v>475</v>
      </c>
      <c r="O5" s="143" t="s">
        <v>476</v>
      </c>
      <c r="P5" s="143" t="s">
        <v>483</v>
      </c>
      <c r="Q5" s="258"/>
      <c r="R5" s="208"/>
    </row>
    <row r="6" spans="2:20">
      <c r="B6" s="25" t="s">
        <v>568</v>
      </c>
      <c r="C6" s="25">
        <v>100</v>
      </c>
      <c r="D6" s="322" t="s">
        <v>572</v>
      </c>
      <c r="E6" s="321">
        <v>5176408</v>
      </c>
      <c r="F6" s="25" t="s">
        <v>573</v>
      </c>
      <c r="G6" s="25">
        <v>314686</v>
      </c>
      <c r="J6" s="245" t="s">
        <v>467</v>
      </c>
      <c r="K6" s="234" t="s">
        <v>477</v>
      </c>
      <c r="L6" s="244">
        <v>17280</v>
      </c>
      <c r="M6" s="246">
        <v>3325735</v>
      </c>
      <c r="N6" s="208">
        <v>5.8</v>
      </c>
      <c r="O6" s="247">
        <v>570325.97010000004</v>
      </c>
      <c r="P6" s="208">
        <f>ROUNDUP(O6/L6,0)</f>
        <v>34</v>
      </c>
      <c r="Q6" s="255">
        <f>P6*20</f>
        <v>680</v>
      </c>
      <c r="R6" s="208" t="s">
        <v>484</v>
      </c>
    </row>
    <row r="7" spans="2:20" ht="18" thickBot="1">
      <c r="B7" s="25" t="s">
        <v>569</v>
      </c>
      <c r="C7" s="25">
        <v>20</v>
      </c>
      <c r="D7" s="25" t="s">
        <v>574</v>
      </c>
      <c r="E7" s="25">
        <v>500</v>
      </c>
      <c r="J7" s="248" t="s">
        <v>467</v>
      </c>
      <c r="K7" s="248" t="s">
        <v>478</v>
      </c>
      <c r="L7" s="249">
        <v>518400</v>
      </c>
      <c r="M7" s="250"/>
      <c r="N7" s="251"/>
      <c r="O7" s="252">
        <v>570325.97010000004</v>
      </c>
      <c r="P7" s="251">
        <f>ROUNDUP(O7/L7,0)</f>
        <v>2</v>
      </c>
      <c r="Q7" s="256">
        <f>P7*500</f>
        <v>1000</v>
      </c>
      <c r="R7" s="251"/>
    </row>
    <row r="8" spans="2:20">
      <c r="B8" s="25" t="s">
        <v>570</v>
      </c>
      <c r="C8" s="25" t="s">
        <v>575</v>
      </c>
      <c r="D8" s="25">
        <f>E6/G6</f>
        <v>16.449438487889516</v>
      </c>
      <c r="E8" s="25" t="s">
        <v>577</v>
      </c>
      <c r="J8" s="245" t="s">
        <v>468</v>
      </c>
      <c r="K8" s="234" t="s">
        <v>477</v>
      </c>
      <c r="L8" s="244">
        <v>1080</v>
      </c>
      <c r="M8" s="247">
        <v>5267992</v>
      </c>
      <c r="N8" s="208">
        <v>5.4</v>
      </c>
      <c r="O8" s="247">
        <v>976256.12899999996</v>
      </c>
      <c r="P8">
        <f>ROUNDUP(O8/L8,0)</f>
        <v>904</v>
      </c>
      <c r="Q8" s="254">
        <f>P8*25</f>
        <v>22600</v>
      </c>
      <c r="R8" s="208"/>
    </row>
    <row r="9" spans="2:20">
      <c r="B9" s="25" t="s">
        <v>571</v>
      </c>
      <c r="C9" s="25" t="s">
        <v>575</v>
      </c>
      <c r="D9" s="25">
        <f>E6/324000</f>
        <v>15.976567901234567</v>
      </c>
      <c r="E9" s="25" t="s">
        <v>577</v>
      </c>
      <c r="J9" s="245" t="s">
        <v>468</v>
      </c>
      <c r="K9" s="245" t="s">
        <v>478</v>
      </c>
      <c r="L9" s="244">
        <v>32400</v>
      </c>
      <c r="M9" s="246"/>
      <c r="N9" s="208"/>
      <c r="O9" s="247">
        <v>976256.12899999996</v>
      </c>
      <c r="P9">
        <f>ROUNDUP(O9/L9,0)</f>
        <v>31</v>
      </c>
      <c r="Q9" s="255">
        <f>P9*625</f>
        <v>19375</v>
      </c>
      <c r="R9" s="208"/>
    </row>
    <row r="10" spans="2:20" ht="18" thickBot="1">
      <c r="B10" s="25" t="s">
        <v>576</v>
      </c>
      <c r="J10" s="248" t="s">
        <v>468</v>
      </c>
      <c r="K10" s="248" t="s">
        <v>479</v>
      </c>
      <c r="L10" s="249">
        <v>216</v>
      </c>
      <c r="M10" s="250"/>
      <c r="N10" s="251"/>
      <c r="O10" s="252">
        <v>976256.12899999996</v>
      </c>
      <c r="P10" s="251">
        <f>ROUNDUP(O10/L10,0)</f>
        <v>4520</v>
      </c>
      <c r="Q10" s="256"/>
      <c r="R10" s="251" t="s">
        <v>485</v>
      </c>
    </row>
    <row r="11" spans="2:20">
      <c r="J11" s="245" t="s">
        <v>469</v>
      </c>
      <c r="K11" s="245" t="s">
        <v>480</v>
      </c>
      <c r="L11" s="244">
        <v>250</v>
      </c>
      <c r="M11" s="246"/>
      <c r="N11" s="208"/>
      <c r="O11" s="247">
        <v>158750</v>
      </c>
      <c r="P11">
        <f t="shared" ref="P11:P19" si="0">ROUNDUP(O11/L11,0)</f>
        <v>635</v>
      </c>
      <c r="Q11" s="254">
        <f>P11*40</f>
        <v>25400</v>
      </c>
      <c r="R11" s="208"/>
    </row>
    <row r="12" spans="2:20">
      <c r="B12" s="25"/>
      <c r="C12" s="25" t="s">
        <v>578</v>
      </c>
      <c r="D12" s="25" t="s">
        <v>579</v>
      </c>
      <c r="J12" s="245" t="s">
        <v>469</v>
      </c>
      <c r="K12" s="245" t="s">
        <v>481</v>
      </c>
      <c r="L12" s="244">
        <v>1000</v>
      </c>
      <c r="M12" s="246"/>
      <c r="N12" s="208"/>
      <c r="O12" s="247">
        <v>158750</v>
      </c>
      <c r="P12">
        <f t="shared" si="0"/>
        <v>159</v>
      </c>
      <c r="Q12" s="254">
        <f>P12*40</f>
        <v>6360</v>
      </c>
      <c r="R12" s="208"/>
    </row>
    <row r="13" spans="2:20" ht="18" thickBot="1">
      <c r="B13" s="25" t="s">
        <v>580</v>
      </c>
      <c r="C13" s="323">
        <v>32400</v>
      </c>
      <c r="D13" s="323">
        <v>324000</v>
      </c>
      <c r="J13" s="248" t="s">
        <v>469</v>
      </c>
      <c r="K13" s="235" t="s">
        <v>482</v>
      </c>
      <c r="L13" s="249">
        <v>30000</v>
      </c>
      <c r="M13" s="252">
        <v>884267</v>
      </c>
      <c r="N13" s="251">
        <v>5.6</v>
      </c>
      <c r="O13" s="252">
        <v>158750</v>
      </c>
      <c r="P13" s="251">
        <f t="shared" si="0"/>
        <v>6</v>
      </c>
      <c r="Q13" s="257">
        <f>P13*1000</f>
        <v>6000</v>
      </c>
      <c r="R13" s="251" t="s">
        <v>484</v>
      </c>
    </row>
    <row r="14" spans="2:20">
      <c r="B14" s="25" t="s">
        <v>581</v>
      </c>
      <c r="C14" s="25">
        <f>G6/C13</f>
        <v>9.7125308641975305</v>
      </c>
      <c r="D14" s="25">
        <v>1</v>
      </c>
      <c r="J14" s="245" t="s">
        <v>470</v>
      </c>
      <c r="K14" s="245" t="s">
        <v>480</v>
      </c>
      <c r="L14" s="244">
        <v>250</v>
      </c>
      <c r="M14" s="246"/>
      <c r="N14" s="208"/>
      <c r="O14" s="247">
        <v>14031.5789</v>
      </c>
      <c r="P14">
        <f t="shared" si="0"/>
        <v>57</v>
      </c>
      <c r="Q14" s="254">
        <f>P14*30</f>
        <v>1710</v>
      </c>
      <c r="R14" s="208"/>
    </row>
    <row r="15" spans="2:20">
      <c r="B15" s="25" t="s">
        <v>582</v>
      </c>
      <c r="C15" s="25">
        <f>D8*C14*E7</f>
        <v>79882.839506172837</v>
      </c>
      <c r="D15" s="25">
        <f>D9*D14*E7</f>
        <v>7988.2839506172832</v>
      </c>
      <c r="E15" s="324">
        <f>C15-D15</f>
        <v>71894.555555555547</v>
      </c>
      <c r="F15" s="25" t="s">
        <v>583</v>
      </c>
      <c r="J15" s="245" t="s">
        <v>470</v>
      </c>
      <c r="K15" s="234" t="s">
        <v>481</v>
      </c>
      <c r="L15" s="244">
        <v>1000</v>
      </c>
      <c r="M15" s="247">
        <v>77344</v>
      </c>
      <c r="N15" s="208">
        <v>5.5</v>
      </c>
      <c r="O15" s="247">
        <v>14031.5789</v>
      </c>
      <c r="P15">
        <f t="shared" si="0"/>
        <v>15</v>
      </c>
      <c r="Q15" s="255">
        <f>P15*30</f>
        <v>450</v>
      </c>
      <c r="R15" s="208" t="s">
        <v>484</v>
      </c>
    </row>
    <row r="16" spans="2:20" ht="18" thickBot="1">
      <c r="J16" s="248" t="s">
        <v>470</v>
      </c>
      <c r="K16" s="248" t="s">
        <v>482</v>
      </c>
      <c r="L16" s="249">
        <v>30000</v>
      </c>
      <c r="M16" s="250"/>
      <c r="N16" s="251"/>
      <c r="O16" s="252">
        <v>14031.5789</v>
      </c>
      <c r="P16" s="251">
        <f t="shared" si="0"/>
        <v>1</v>
      </c>
      <c r="Q16" s="256">
        <f>P16*750</f>
        <v>750</v>
      </c>
      <c r="R16" s="251"/>
    </row>
    <row r="17" spans="2:18" ht="19.2">
      <c r="B17" s="334" t="s">
        <v>584</v>
      </c>
      <c r="J17" s="245" t="s">
        <v>471</v>
      </c>
      <c r="K17" s="234" t="s">
        <v>480</v>
      </c>
      <c r="L17" s="244">
        <v>250</v>
      </c>
      <c r="M17" s="247">
        <v>4787</v>
      </c>
      <c r="N17" s="208">
        <v>4.8</v>
      </c>
      <c r="O17" s="247">
        <v>1000</v>
      </c>
      <c r="P17">
        <f t="shared" si="0"/>
        <v>4</v>
      </c>
      <c r="Q17" s="254">
        <f>P17*50</f>
        <v>200</v>
      </c>
      <c r="R17" s="208"/>
    </row>
    <row r="18" spans="2:18">
      <c r="B18" s="25"/>
      <c r="C18" s="25" t="s">
        <v>585</v>
      </c>
      <c r="D18" s="25" t="s">
        <v>586</v>
      </c>
      <c r="J18" s="245" t="s">
        <v>471</v>
      </c>
      <c r="K18" s="245" t="s">
        <v>481</v>
      </c>
      <c r="L18" s="244">
        <v>1000</v>
      </c>
      <c r="M18" s="246"/>
      <c r="N18" s="208"/>
      <c r="O18" s="247">
        <v>1000</v>
      </c>
      <c r="P18">
        <f t="shared" si="0"/>
        <v>1</v>
      </c>
      <c r="Q18" s="255">
        <f>P18*50</f>
        <v>50</v>
      </c>
      <c r="R18" s="208" t="s">
        <v>485</v>
      </c>
    </row>
    <row r="19" spans="2:18">
      <c r="B19" s="25" t="s">
        <v>587</v>
      </c>
      <c r="C19" s="25">
        <v>360</v>
      </c>
      <c r="D19" s="25">
        <v>36</v>
      </c>
      <c r="J19" s="245" t="s">
        <v>471</v>
      </c>
      <c r="K19" s="245" t="s">
        <v>482</v>
      </c>
      <c r="L19" s="244">
        <v>30000</v>
      </c>
      <c r="M19" s="246"/>
      <c r="N19" s="208"/>
      <c r="O19" s="247">
        <v>1000</v>
      </c>
      <c r="P19">
        <f t="shared" si="0"/>
        <v>1</v>
      </c>
      <c r="Q19" s="254">
        <f>P19*1250</f>
        <v>1250</v>
      </c>
      <c r="R19" s="208"/>
    </row>
    <row r="20" spans="2:18">
      <c r="B20" s="25" t="s">
        <v>569</v>
      </c>
      <c r="C20" s="25">
        <f>C19*100</f>
        <v>36000</v>
      </c>
      <c r="D20" s="25">
        <f>D19*100</f>
        <v>3600</v>
      </c>
      <c r="E20" s="324">
        <f>C20-D20</f>
        <v>32400</v>
      </c>
      <c r="F20" s="25" t="s">
        <v>583</v>
      </c>
    </row>
    <row r="22" spans="2:18" ht="19.2">
      <c r="B22" s="334" t="s">
        <v>588</v>
      </c>
    </row>
    <row r="23" spans="2:18">
      <c r="B23" s="25"/>
      <c r="C23" s="25" t="s">
        <v>585</v>
      </c>
      <c r="D23" s="25" t="s">
        <v>586</v>
      </c>
    </row>
    <row r="24" spans="2:18">
      <c r="B24" s="25" t="s">
        <v>589</v>
      </c>
      <c r="C24" s="323">
        <v>248422</v>
      </c>
      <c r="D24" s="25">
        <f>C24/2</f>
        <v>124211</v>
      </c>
      <c r="E24" s="325">
        <f>C24-D24</f>
        <v>124211</v>
      </c>
      <c r="F24" s="25" t="s">
        <v>583</v>
      </c>
    </row>
    <row r="26" spans="2:18" ht="19.2">
      <c r="B26" s="334" t="s">
        <v>372</v>
      </c>
    </row>
    <row r="27" spans="2:18">
      <c r="B27" s="25" t="s">
        <v>590</v>
      </c>
    </row>
    <row r="28" spans="2:18">
      <c r="B28" s="25" t="s">
        <v>591</v>
      </c>
    </row>
    <row r="29" spans="2:18">
      <c r="B29" s="25" t="s">
        <v>592</v>
      </c>
    </row>
    <row r="30" spans="2:18">
      <c r="B30" s="25" t="s">
        <v>593</v>
      </c>
    </row>
    <row r="31" spans="2:18">
      <c r="B31" s="208"/>
    </row>
  </sheetData>
  <mergeCells count="2">
    <mergeCell ref="I2:T3"/>
    <mergeCell ref="B2:G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입출력 parameter</vt:lpstr>
      <vt:lpstr>1 Round</vt:lpstr>
      <vt:lpstr>2 Round</vt:lpstr>
      <vt:lpstr>3 Round</vt:lpstr>
      <vt:lpstr>4 Round</vt:lpstr>
      <vt:lpstr>5 Round</vt:lpstr>
      <vt:lpstr>6 Round</vt:lpstr>
      <vt:lpstr>종합</vt:lpstr>
      <vt:lpstr>구매</vt:lpstr>
      <vt:lpstr>생산</vt:lpstr>
      <vt:lpstr>혼합기</vt:lpstr>
      <vt:lpstr>용기주입</vt:lpstr>
      <vt:lpstr>SCM</vt:lpstr>
      <vt:lpstr>판매</vt:lpstr>
      <vt:lpstr>용어 및 수식 정리</vt:lpstr>
      <vt:lpstr>상관관계 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김민재</dc:creator>
  <cp:lastModifiedBy>김민재</cp:lastModifiedBy>
  <dcterms:created xsi:type="dcterms:W3CDTF">2022-09-16T11:19:21Z</dcterms:created>
  <dcterms:modified xsi:type="dcterms:W3CDTF">2022-10-12T06:50:15Z</dcterms:modified>
</cp:coreProperties>
</file>