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DESKTOP-IHCHEQK\Users\Public\FY 2023-24\Report Jan2023 to Oct2023\Canteen\"/>
    </mc:Choice>
  </mc:AlternateContent>
  <xr:revisionPtr revIDLastSave="0" documentId="13_ncr:1_{6C10A936-964A-4D93-BB88-03ADEE962A46}" xr6:coauthVersionLast="47" xr6:coauthVersionMax="47" xr10:uidLastSave="{00000000-0000-0000-0000-000000000000}"/>
  <bookViews>
    <workbookView xWindow="-120" yWindow="-120" windowWidth="20730" windowHeight="11160" xr2:uid="{CBC0B762-1EE7-4AB9-8E9E-ECA9ED130AA2}"/>
  </bookViews>
  <sheets>
    <sheet name="Sheet1" sheetId="1" r:id="rId1"/>
  </sheets>
  <definedNames>
    <definedName name="_xlnm.Print_Area" localSheetId="0">Sheet1!$V$1:$AC$23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5" i="1" l="1"/>
  <c r="P24" i="1"/>
  <c r="P23" i="1"/>
  <c r="P22" i="1"/>
  <c r="P21" i="1"/>
  <c r="P20" i="1"/>
  <c r="P19" i="1"/>
  <c r="P13" i="1"/>
  <c r="P12" i="1"/>
  <c r="P11" i="1"/>
  <c r="P10" i="1"/>
  <c r="P9" i="1"/>
  <c r="P8" i="1"/>
  <c r="P7" i="1"/>
  <c r="P14" i="1"/>
  <c r="O26" i="1"/>
  <c r="P31" i="1"/>
  <c r="N35" i="1"/>
  <c r="N33" i="1"/>
  <c r="O14" i="1"/>
  <c r="O28" i="1"/>
  <c r="O33" i="1" s="1"/>
  <c r="O35" i="1" s="1"/>
  <c r="N28" i="1"/>
  <c r="O15" i="1"/>
  <c r="N15" i="1"/>
  <c r="N26" i="1"/>
  <c r="N9" i="1"/>
  <c r="N14" i="1"/>
  <c r="O9" i="1"/>
  <c r="P26" i="1" l="1"/>
  <c r="P15" i="1"/>
  <c r="P28" i="1"/>
  <c r="P33" i="1"/>
  <c r="M26" i="1" l="1"/>
  <c r="L26" i="1"/>
  <c r="E26" i="1"/>
  <c r="F26" i="1"/>
  <c r="G26" i="1"/>
  <c r="M14" i="1"/>
  <c r="M15" i="1" s="1"/>
  <c r="M28" i="1" s="1"/>
  <c r="M33" i="1" s="1"/>
  <c r="M35" i="1" s="1"/>
  <c r="L14" i="1"/>
  <c r="L15" i="1" s="1"/>
  <c r="L28" i="1" s="1"/>
  <c r="L33" i="1" s="1"/>
  <c r="L35" i="1" s="1"/>
  <c r="G15" i="1"/>
  <c r="G28" i="1" s="1"/>
  <c r="G33" i="1" s="1"/>
  <c r="G35" i="1" s="1"/>
  <c r="G14" i="1"/>
  <c r="F14" i="1"/>
  <c r="F15" i="1" s="1"/>
  <c r="F28" i="1" s="1"/>
  <c r="F33" i="1" s="1"/>
  <c r="F35" i="1" s="1"/>
  <c r="E14" i="1" l="1"/>
  <c r="E11" i="1"/>
  <c r="X49" i="1"/>
  <c r="X48" i="1"/>
  <c r="Y46" i="1"/>
  <c r="Z46" i="1"/>
  <c r="E15" i="1" l="1"/>
  <c r="E28" i="1" s="1"/>
  <c r="X46" i="1"/>
  <c r="E33" i="1" l="1"/>
  <c r="AC17" i="1"/>
  <c r="AC16" i="1"/>
  <c r="AB21" i="1"/>
  <c r="AB9" i="1"/>
  <c r="AB14" i="1" s="1"/>
  <c r="AA9" i="1"/>
  <c r="E35" i="1" l="1"/>
  <c r="AB23" i="1"/>
  <c r="AA8" i="1"/>
  <c r="AA14" i="1" s="1"/>
  <c r="AJ31" i="1"/>
  <c r="AJ30" i="1"/>
  <c r="Z18" i="1"/>
  <c r="Y18" i="1"/>
  <c r="X18" i="1"/>
  <c r="X21" i="1" s="1"/>
  <c r="W18" i="1"/>
  <c r="AI27" i="1"/>
  <c r="AH27" i="1"/>
  <c r="AG27" i="1"/>
  <c r="AF27" i="1"/>
  <c r="AJ26" i="1"/>
  <c r="AJ25" i="1"/>
  <c r="AI22" i="1"/>
  <c r="AH22" i="1"/>
  <c r="AG22" i="1"/>
  <c r="AF22" i="1"/>
  <c r="AJ20" i="1"/>
  <c r="AJ19" i="1"/>
  <c r="AJ18" i="1"/>
  <c r="AJ17" i="1"/>
  <c r="AJ16" i="1"/>
  <c r="AJ15" i="1"/>
  <c r="AJ14" i="1"/>
  <c r="J10" i="1"/>
  <c r="Y28" i="1" s="1"/>
  <c r="I10" i="1"/>
  <c r="I9" i="1" s="1"/>
  <c r="H10" i="1"/>
  <c r="Y19" i="1"/>
  <c r="W19" i="1"/>
  <c r="AC19" i="1" s="1"/>
  <c r="W11" i="1"/>
  <c r="W10" i="1"/>
  <c r="K10" i="1"/>
  <c r="K9" i="1" s="1"/>
  <c r="Z11" i="1"/>
  <c r="Y11" i="1"/>
  <c r="X11" i="1"/>
  <c r="Z10" i="1"/>
  <c r="Y10" i="1"/>
  <c r="X10" i="1"/>
  <c r="Z8" i="1"/>
  <c r="Y8" i="1"/>
  <c r="X8" i="1"/>
  <c r="W8" i="1"/>
  <c r="Z7" i="1"/>
  <c r="Y7" i="1"/>
  <c r="X7" i="1"/>
  <c r="W7" i="1"/>
  <c r="Y6" i="1"/>
  <c r="X6" i="1"/>
  <c r="W6" i="1"/>
  <c r="K31" i="1"/>
  <c r="J31" i="1"/>
  <c r="I31" i="1"/>
  <c r="H31" i="1"/>
  <c r="H26" i="1"/>
  <c r="I26" i="1"/>
  <c r="J26" i="1"/>
  <c r="K26" i="1"/>
  <c r="H9" i="1" l="1"/>
  <c r="AC10" i="1"/>
  <c r="AC7" i="1"/>
  <c r="AC11" i="1"/>
  <c r="AC6" i="1"/>
  <c r="Y21" i="1"/>
  <c r="AC8" i="1"/>
  <c r="Z21" i="1"/>
  <c r="AA18" i="1"/>
  <c r="AA21" i="1" s="1"/>
  <c r="AA23" i="1" s="1"/>
  <c r="W21" i="1"/>
  <c r="W28" i="1"/>
  <c r="AJ27" i="1"/>
  <c r="X28" i="1"/>
  <c r="AJ22" i="1"/>
  <c r="J9" i="1"/>
  <c r="Y9" i="1" s="1"/>
  <c r="Y14" i="1" s="1"/>
  <c r="Z28" i="1"/>
  <c r="K15" i="1"/>
  <c r="K28" i="1" s="1"/>
  <c r="K33" i="1" s="1"/>
  <c r="K35" i="1" s="1"/>
  <c r="I15" i="1"/>
  <c r="I28" i="1" s="1"/>
  <c r="I33" i="1" s="1"/>
  <c r="I35" i="1" s="1"/>
  <c r="H15" i="1"/>
  <c r="Z9" i="1"/>
  <c r="Z14" i="1" s="1"/>
  <c r="X9" i="1"/>
  <c r="H28" i="1" l="1"/>
  <c r="W9" i="1"/>
  <c r="W14" i="1" s="1"/>
  <c r="W23" i="1" s="1"/>
  <c r="AC28" i="1"/>
  <c r="AC18" i="1"/>
  <c r="AC21" i="1" s="1"/>
  <c r="Z23" i="1"/>
  <c r="Y23" i="1"/>
  <c r="J15" i="1"/>
  <c r="J28" i="1" s="1"/>
  <c r="J33" i="1" s="1"/>
  <c r="J35" i="1" s="1"/>
  <c r="X14" i="1"/>
  <c r="X23" i="1" s="1"/>
  <c r="H33" i="1"/>
  <c r="AC9" i="1" l="1"/>
  <c r="AC14" i="1" s="1"/>
  <c r="AC23" i="1"/>
  <c r="AC25" i="1" s="1"/>
  <c r="H35" i="1"/>
  <c r="P35" i="1" l="1"/>
</calcChain>
</file>

<file path=xl/sharedStrings.xml><?xml version="1.0" encoding="utf-8"?>
<sst xmlns="http://schemas.openxmlformats.org/spreadsheetml/2006/main" count="69" uniqueCount="48">
  <si>
    <t>Revenue</t>
  </si>
  <si>
    <t>Net Sales</t>
  </si>
  <si>
    <t>Cash Sales</t>
  </si>
  <si>
    <t>Credit Sales - HHPL Staff</t>
  </si>
  <si>
    <t>Credit Sales - Rai Security</t>
  </si>
  <si>
    <t>Credit Sales - Mangement</t>
  </si>
  <si>
    <t>Tea sales - Staff</t>
  </si>
  <si>
    <t>Upi Sales</t>
  </si>
  <si>
    <t>Cost of sales</t>
  </si>
  <si>
    <t>Purchases</t>
  </si>
  <si>
    <t>-Fruits</t>
  </si>
  <si>
    <t>-Non Veg</t>
  </si>
  <si>
    <t>-Paneer</t>
  </si>
  <si>
    <t>-Vegitables</t>
  </si>
  <si>
    <t>-Grocery</t>
  </si>
  <si>
    <t>-Cold Drinks</t>
  </si>
  <si>
    <t>-Gas Cylinder</t>
  </si>
  <si>
    <t>Gross Profit</t>
  </si>
  <si>
    <t>Expenses</t>
  </si>
  <si>
    <t xml:space="preserve">Salary </t>
  </si>
  <si>
    <t>Net Profit</t>
  </si>
  <si>
    <t>Statement Of Operations</t>
  </si>
  <si>
    <t>For The Period Ending July 31,2023</t>
  </si>
  <si>
    <t>HHPL Canteen</t>
  </si>
  <si>
    <t>Profit to sales Ratio</t>
  </si>
  <si>
    <t>Diet Charges(80%)</t>
  </si>
  <si>
    <t>UPI Receipt Till 1st July</t>
  </si>
  <si>
    <t>TOTAL</t>
  </si>
  <si>
    <t>Credit Sales - YJA Staff</t>
  </si>
  <si>
    <t>Amount to be reimbursed</t>
  </si>
  <si>
    <t>Canteen Reimbursement</t>
  </si>
  <si>
    <t>Total Collection by Canteen</t>
  </si>
  <si>
    <t>Cash</t>
  </si>
  <si>
    <t>UPI</t>
  </si>
  <si>
    <t>Particulars</t>
  </si>
  <si>
    <t>TOTAL EXPENSE</t>
  </si>
  <si>
    <t>Total RECEIPT</t>
  </si>
  <si>
    <t>Total Amount to be reimbursed</t>
  </si>
  <si>
    <t>HHPL Canteen Reimbursement</t>
  </si>
  <si>
    <t xml:space="preserve">HHPL Canteen </t>
  </si>
  <si>
    <t>Amount reimbursed by HHPL</t>
  </si>
  <si>
    <t>Salary - Paid by HHPL</t>
  </si>
  <si>
    <t>Aug</t>
  </si>
  <si>
    <t>Sept</t>
  </si>
  <si>
    <t>upi receipt</t>
  </si>
  <si>
    <t>exp</t>
  </si>
  <si>
    <t>cash</t>
  </si>
  <si>
    <t>For The Period Ending Jan-Oct2023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</si>
</sst>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9">
    <xf numFmtId="0" fontId="0" fillId="0" borderId="0" xfId="0"/>
    <xf numFmtId="164" fontId="0" fillId="0" borderId="0" xfId="1" applyFont="1"/>
    <xf numFmtId="0" fontId="0" fillId="0" borderId="1" xfId="0" applyBorder="1"/>
    <xf numFmtId="0" fontId="2" fillId="0" borderId="1" xfId="0" applyFont="1" applyBorder="1"/>
    <xf numFmtId="164" fontId="0" fillId="0" borderId="1" xfId="1" applyFont="1" applyBorder="1"/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3" xfId="0" applyBorder="1"/>
    <xf numFmtId="0" fontId="2" fillId="0" borderId="3" xfId="0" applyFont="1" applyBorder="1"/>
    <xf numFmtId="164" fontId="0" fillId="0" borderId="4" xfId="1" applyFont="1" applyBorder="1"/>
    <xf numFmtId="0" fontId="0" fillId="0" borderId="5" xfId="0" applyBorder="1"/>
    <xf numFmtId="0" fontId="2" fillId="0" borderId="6" xfId="0" applyFont="1" applyBorder="1"/>
    <xf numFmtId="164" fontId="0" fillId="0" borderId="8" xfId="1" applyFont="1" applyBorder="1"/>
    <xf numFmtId="164" fontId="0" fillId="0" borderId="9" xfId="1" applyFont="1" applyBorder="1"/>
    <xf numFmtId="17" fontId="2" fillId="0" borderId="11" xfId="1" applyNumberFormat="1" applyFont="1" applyBorder="1"/>
    <xf numFmtId="0" fontId="0" fillId="0" borderId="13" xfId="0" applyBorder="1"/>
    <xf numFmtId="164" fontId="0" fillId="0" borderId="14" xfId="1" applyFont="1" applyBorder="1"/>
    <xf numFmtId="164" fontId="0" fillId="0" borderId="15" xfId="1" applyFont="1" applyBorder="1"/>
    <xf numFmtId="164" fontId="2" fillId="0" borderId="10" xfId="1" applyFont="1" applyBorder="1"/>
    <xf numFmtId="164" fontId="2" fillId="0" borderId="11" xfId="1" applyFont="1" applyBorder="1"/>
    <xf numFmtId="164" fontId="2" fillId="0" borderId="12" xfId="1" applyFont="1" applyBorder="1"/>
    <xf numFmtId="0" fontId="2" fillId="0" borderId="13" xfId="0" applyFont="1" applyBorder="1"/>
    <xf numFmtId="164" fontId="0" fillId="0" borderId="18" xfId="1" applyFont="1" applyBorder="1"/>
    <xf numFmtId="164" fontId="0" fillId="0" borderId="19" xfId="1" applyFont="1" applyBorder="1"/>
    <xf numFmtId="164" fontId="4" fillId="0" borderId="16" xfId="1" applyFont="1" applyBorder="1"/>
    <xf numFmtId="164" fontId="4" fillId="0" borderId="17" xfId="1" applyFont="1" applyBorder="1"/>
    <xf numFmtId="164" fontId="4" fillId="0" borderId="0" xfId="1" applyFont="1" applyBorder="1"/>
    <xf numFmtId="10" fontId="2" fillId="0" borderId="6" xfId="1" applyNumberFormat="1" applyFont="1" applyBorder="1"/>
    <xf numFmtId="10" fontId="2" fillId="0" borderId="7" xfId="1" applyNumberFormat="1" applyFont="1" applyBorder="1"/>
    <xf numFmtId="164" fontId="4" fillId="0" borderId="8" xfId="1" applyFont="1" applyBorder="1"/>
    <xf numFmtId="17" fontId="2" fillId="0" borderId="0" xfId="1" applyNumberFormat="1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 applyBorder="1"/>
    <xf numFmtId="164" fontId="2" fillId="0" borderId="0" xfId="1" applyFont="1" applyBorder="1"/>
    <xf numFmtId="10" fontId="2" fillId="0" borderId="0" xfId="1" applyNumberFormat="1" applyFont="1" applyBorder="1"/>
    <xf numFmtId="164" fontId="0" fillId="0" borderId="13" xfId="1" applyFont="1" applyBorder="1"/>
    <xf numFmtId="164" fontId="0" fillId="0" borderId="26" xfId="1" applyFont="1" applyBorder="1"/>
    <xf numFmtId="164" fontId="2" fillId="0" borderId="24" xfId="1" applyFont="1" applyBorder="1"/>
    <xf numFmtId="164" fontId="0" fillId="0" borderId="27" xfId="1" applyFont="1" applyBorder="1"/>
    <xf numFmtId="164" fontId="0" fillId="0" borderId="28" xfId="1" applyFont="1" applyBorder="1"/>
    <xf numFmtId="164" fontId="4" fillId="0" borderId="27" xfId="1" applyFont="1" applyBorder="1"/>
    <xf numFmtId="10" fontId="2" fillId="0" borderId="20" xfId="1" applyNumberFormat="1" applyFont="1" applyBorder="1"/>
    <xf numFmtId="164" fontId="2" fillId="0" borderId="2" xfId="1" applyFont="1" applyBorder="1"/>
    <xf numFmtId="164" fontId="0" fillId="0" borderId="12" xfId="1" applyFont="1" applyBorder="1"/>
    <xf numFmtId="164" fontId="0" fillId="0" borderId="1" xfId="1" applyFont="1" applyFill="1" applyBorder="1"/>
    <xf numFmtId="164" fontId="0" fillId="0" borderId="11" xfId="1" applyFont="1" applyBorder="1"/>
    <xf numFmtId="164" fontId="0" fillId="0" borderId="14" xfId="1" applyFont="1" applyFill="1" applyBorder="1"/>
    <xf numFmtId="0" fontId="0" fillId="0" borderId="10" xfId="0" applyBorder="1" applyAlignment="1">
      <alignment horizontal="left"/>
    </xf>
    <xf numFmtId="0" fontId="5" fillId="0" borderId="10" xfId="0" applyFont="1" applyBorder="1"/>
    <xf numFmtId="164" fontId="9" fillId="0" borderId="11" xfId="1" applyFont="1" applyBorder="1"/>
    <xf numFmtId="164" fontId="10" fillId="0" borderId="10" xfId="1" applyFont="1" applyBorder="1"/>
    <xf numFmtId="164" fontId="10" fillId="0" borderId="11" xfId="1" applyFont="1" applyBorder="1"/>
    <xf numFmtId="164" fontId="10" fillId="0" borderId="12" xfId="1" applyFont="1" applyBorder="1"/>
    <xf numFmtId="0" fontId="6" fillId="0" borderId="30" xfId="0" applyFont="1" applyBorder="1"/>
    <xf numFmtId="0" fontId="0" fillId="0" borderId="3" xfId="0" applyBorder="1" applyAlignment="1">
      <alignment horizontal="left"/>
    </xf>
    <xf numFmtId="0" fontId="0" fillId="0" borderId="3" xfId="0" quotePrefix="1" applyBorder="1"/>
    <xf numFmtId="0" fontId="0" fillId="0" borderId="33" xfId="0" applyBorder="1"/>
    <xf numFmtId="0" fontId="2" fillId="0" borderId="10" xfId="0" applyFont="1" applyBorder="1"/>
    <xf numFmtId="0" fontId="11" fillId="0" borderId="10" xfId="0" applyFont="1" applyBorder="1"/>
    <xf numFmtId="164" fontId="11" fillId="0" borderId="11" xfId="1" applyFont="1" applyBorder="1"/>
    <xf numFmtId="164" fontId="11" fillId="0" borderId="12" xfId="1" applyFont="1" applyBorder="1"/>
    <xf numFmtId="164" fontId="2" fillId="0" borderId="12" xfId="1" applyFont="1" applyBorder="1" applyAlignment="1">
      <alignment horizontal="right"/>
    </xf>
    <xf numFmtId="17" fontId="2" fillId="0" borderId="24" xfId="1" applyNumberFormat="1" applyFont="1" applyBorder="1"/>
    <xf numFmtId="164" fontId="9" fillId="0" borderId="24" xfId="1" applyFont="1" applyBorder="1"/>
    <xf numFmtId="164" fontId="0" fillId="0" borderId="35" xfId="1" applyFont="1" applyBorder="1"/>
    <xf numFmtId="164" fontId="11" fillId="2" borderId="11" xfId="1" applyFont="1" applyFill="1" applyBorder="1"/>
    <xf numFmtId="164" fontId="10" fillId="0" borderId="24" xfId="1" applyFont="1" applyBorder="1"/>
    <xf numFmtId="0" fontId="0" fillId="0" borderId="8" xfId="0" applyBorder="1"/>
    <xf numFmtId="164" fontId="2" fillId="0" borderId="39" xfId="1" applyFont="1" applyBorder="1"/>
    <xf numFmtId="0" fontId="0" fillId="0" borderId="10" xfId="0" applyBorder="1"/>
    <xf numFmtId="0" fontId="0" fillId="0" borderId="11" xfId="0" applyBorder="1"/>
    <xf numFmtId="164" fontId="2" fillId="0" borderId="1" xfId="1" applyFont="1" applyBorder="1"/>
    <xf numFmtId="164" fontId="3" fillId="0" borderId="1" xfId="1" applyFont="1" applyBorder="1" applyAlignment="1">
      <alignment horizontal="left"/>
    </xf>
    <xf numFmtId="164" fontId="0" fillId="0" borderId="1" xfId="1" quotePrefix="1" applyFont="1" applyBorder="1"/>
    <xf numFmtId="164" fontId="0" fillId="0" borderId="14" xfId="1" quotePrefix="1" applyFont="1" applyBorder="1"/>
    <xf numFmtId="164" fontId="2" fillId="0" borderId="8" xfId="1" applyFont="1" applyBorder="1"/>
    <xf numFmtId="164" fontId="0" fillId="0" borderId="1" xfId="1" applyFont="1" applyBorder="1" applyAlignment="1">
      <alignment horizontal="left"/>
    </xf>
    <xf numFmtId="164" fontId="0" fillId="0" borderId="14" xfId="1" applyFont="1" applyBorder="1" applyAlignment="1">
      <alignment horizontal="left"/>
    </xf>
    <xf numFmtId="0" fontId="2" fillId="0" borderId="40" xfId="0" applyFont="1" applyBorder="1"/>
    <xf numFmtId="0" fontId="2" fillId="0" borderId="0" xfId="0" applyFont="1"/>
    <xf numFmtId="164" fontId="2" fillId="0" borderId="0" xfId="1" applyFont="1"/>
    <xf numFmtId="0" fontId="2" fillId="0" borderId="3" xfId="0" quotePrefix="1" applyFont="1" applyBorder="1"/>
    <xf numFmtId="164" fontId="2" fillId="0" borderId="4" xfId="1" applyFont="1" applyBorder="1"/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2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29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13" fillId="0" borderId="34" xfId="0" applyFont="1" applyBorder="1" applyAlignment="1">
      <alignment horizontal="center"/>
    </xf>
    <xf numFmtId="0" fontId="13" fillId="0" borderId="35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6" fillId="0" borderId="36" xfId="0" applyFont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6" fillId="0" borderId="38" xfId="0" applyFont="1" applyBorder="1" applyAlignment="1">
      <alignment horizontal="center"/>
    </xf>
    <xf numFmtId="164" fontId="0" fillId="0" borderId="14" xfId="1" applyFont="1" applyBorder="1" applyAlignment="1">
      <alignment horizontal="center" vertical="center"/>
    </xf>
    <xf numFmtId="164" fontId="0" fillId="0" borderId="18" xfId="1" applyFont="1" applyBorder="1" applyAlignment="1">
      <alignment horizontal="center" vertical="center"/>
    </xf>
    <xf numFmtId="164" fontId="0" fillId="0" borderId="8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1714B-42B0-4F2E-9EC7-178A5D824BC0}">
  <sheetPr>
    <pageSetUpPr fitToPage="1"/>
  </sheetPr>
  <dimension ref="C1:AJ49"/>
  <sheetViews>
    <sheetView tabSelected="1" zoomScale="85" zoomScaleNormal="85" workbookViewId="0">
      <selection activeCell="J16" sqref="J16"/>
    </sheetView>
  </sheetViews>
  <sheetFormatPr defaultRowHeight="15" x14ac:dyDescent="0.25"/>
  <cols>
    <col min="3" max="3" width="17" customWidth="1"/>
    <col min="4" max="4" width="28.140625" customWidth="1"/>
    <col min="5" max="5" width="17.28515625" style="1" customWidth="1"/>
    <col min="6" max="6" width="16.5703125" style="1" customWidth="1"/>
    <col min="7" max="7" width="16.85546875" style="1" customWidth="1"/>
    <col min="8" max="10" width="11.5703125" style="1" bestFit="1" customWidth="1"/>
    <col min="11" max="15" width="11.5703125" style="1" customWidth="1"/>
    <col min="16" max="16" width="12.7109375" style="1" bestFit="1" customWidth="1"/>
    <col min="17" max="17" width="11.5703125" style="1" customWidth="1"/>
    <col min="20" max="20" width="0" hidden="1" customWidth="1"/>
    <col min="21" max="21" width="7.28515625" hidden="1" customWidth="1"/>
    <col min="22" max="22" width="38.85546875" hidden="1" customWidth="1"/>
    <col min="23" max="25" width="16.140625" style="1" hidden="1" customWidth="1"/>
    <col min="26" max="26" width="14" style="1" hidden="1" customWidth="1"/>
    <col min="27" max="29" width="16.140625" style="1" hidden="1" customWidth="1"/>
    <col min="30" max="30" width="0" hidden="1" customWidth="1"/>
    <col min="31" max="36" width="9.140625" hidden="1" customWidth="1"/>
    <col min="37" max="37" width="0" hidden="1" customWidth="1"/>
  </cols>
  <sheetData>
    <row r="1" spans="3:36" ht="29.25" thickBot="1" x14ac:dyDescent="0.5">
      <c r="C1" s="94" t="s">
        <v>23</v>
      </c>
      <c r="D1" s="95"/>
      <c r="E1" s="95"/>
      <c r="F1" s="95"/>
      <c r="G1" s="95"/>
      <c r="H1" s="95"/>
      <c r="I1" s="95"/>
      <c r="J1" s="95"/>
      <c r="K1" s="96"/>
      <c r="L1" s="96"/>
      <c r="M1" s="96"/>
      <c r="N1" s="96"/>
      <c r="O1" s="96"/>
      <c r="P1" s="97"/>
      <c r="Q1" s="32"/>
      <c r="V1" s="104" t="s">
        <v>39</v>
      </c>
      <c r="W1" s="105"/>
      <c r="X1" s="105"/>
      <c r="Y1" s="105"/>
      <c r="Z1" s="105"/>
      <c r="AA1" s="105"/>
      <c r="AB1" s="105"/>
      <c r="AC1" s="106"/>
    </row>
    <row r="2" spans="3:36" ht="27" thickBot="1" x14ac:dyDescent="0.45">
      <c r="C2" s="90" t="s">
        <v>21</v>
      </c>
      <c r="D2" s="91"/>
      <c r="E2" s="91"/>
      <c r="F2" s="91"/>
      <c r="G2" s="91"/>
      <c r="H2" s="91"/>
      <c r="I2" s="91"/>
      <c r="J2" s="91"/>
      <c r="K2" s="92"/>
      <c r="L2" s="92"/>
      <c r="M2" s="92"/>
      <c r="N2" s="92"/>
      <c r="O2" s="92"/>
      <c r="P2" s="93"/>
      <c r="Q2" s="33"/>
      <c r="V2" s="107" t="s">
        <v>38</v>
      </c>
      <c r="W2" s="108"/>
      <c r="X2" s="108"/>
      <c r="Y2" s="108"/>
      <c r="Z2" s="108"/>
      <c r="AA2" s="108"/>
      <c r="AB2" s="108"/>
      <c r="AC2" s="109"/>
    </row>
    <row r="3" spans="3:36" ht="15.75" thickBot="1" x14ac:dyDescent="0.3">
      <c r="C3" s="86" t="s">
        <v>47</v>
      </c>
      <c r="D3" s="87"/>
      <c r="E3" s="87"/>
      <c r="F3" s="87"/>
      <c r="G3" s="87"/>
      <c r="H3" s="87"/>
      <c r="I3" s="87"/>
      <c r="J3" s="87"/>
      <c r="K3" s="88"/>
      <c r="L3" s="88"/>
      <c r="M3" s="88"/>
      <c r="N3" s="88"/>
      <c r="O3" s="88"/>
      <c r="P3" s="89"/>
      <c r="Q3" s="34"/>
      <c r="V3" s="110" t="s">
        <v>22</v>
      </c>
      <c r="W3" s="111"/>
      <c r="X3" s="111"/>
      <c r="Y3" s="111"/>
      <c r="Z3" s="111"/>
      <c r="AA3" s="111"/>
      <c r="AB3" s="111"/>
      <c r="AC3" s="112"/>
    </row>
    <row r="4" spans="3:36" ht="15.75" thickBot="1" x14ac:dyDescent="0.3">
      <c r="C4" s="72"/>
      <c r="D4" s="73"/>
      <c r="E4" s="15">
        <v>44927</v>
      </c>
      <c r="F4" s="15">
        <v>44958</v>
      </c>
      <c r="G4" s="15">
        <v>44986</v>
      </c>
      <c r="H4" s="15">
        <v>45017</v>
      </c>
      <c r="I4" s="15">
        <v>45047</v>
      </c>
      <c r="J4" s="15">
        <v>45078</v>
      </c>
      <c r="K4" s="15">
        <v>45108</v>
      </c>
      <c r="L4" s="15">
        <v>45139</v>
      </c>
      <c r="M4" s="15">
        <v>45170</v>
      </c>
      <c r="N4" s="65">
        <v>45222</v>
      </c>
      <c r="O4" s="65">
        <v>45253</v>
      </c>
      <c r="P4" s="64" t="s">
        <v>27</v>
      </c>
      <c r="Q4" s="31"/>
      <c r="V4" s="60" t="s">
        <v>34</v>
      </c>
      <c r="W4" s="15">
        <v>45017</v>
      </c>
      <c r="X4" s="15">
        <v>45047</v>
      </c>
      <c r="Y4" s="15">
        <v>45078</v>
      </c>
      <c r="Z4" s="15">
        <v>45108</v>
      </c>
      <c r="AA4" s="65">
        <v>45139</v>
      </c>
      <c r="AB4" s="65">
        <v>45170</v>
      </c>
      <c r="AC4" s="64" t="s">
        <v>27</v>
      </c>
    </row>
    <row r="5" spans="3:36" ht="18.75" x14ac:dyDescent="0.3">
      <c r="C5" s="81" t="s">
        <v>0</v>
      </c>
      <c r="D5" s="70"/>
      <c r="E5" s="13"/>
      <c r="F5" s="13"/>
      <c r="G5" s="13"/>
      <c r="H5" s="13"/>
      <c r="I5" s="13"/>
      <c r="J5" s="13"/>
      <c r="K5" s="41"/>
      <c r="L5" s="41"/>
      <c r="M5" s="41"/>
      <c r="N5" s="41"/>
      <c r="O5" s="41"/>
      <c r="P5" s="14"/>
      <c r="Q5" s="35"/>
      <c r="V5" s="98" t="s">
        <v>29</v>
      </c>
      <c r="W5" s="99"/>
      <c r="X5" s="99"/>
      <c r="Y5" s="99"/>
      <c r="Z5" s="99"/>
      <c r="AA5" s="99"/>
      <c r="AB5" s="99"/>
      <c r="AC5" s="100"/>
    </row>
    <row r="6" spans="3:36" x14ac:dyDescent="0.25">
      <c r="C6" s="8"/>
      <c r="D6" s="5" t="s">
        <v>1</v>
      </c>
      <c r="E6" s="75"/>
      <c r="F6" s="75"/>
      <c r="G6" s="75"/>
      <c r="H6" s="4"/>
      <c r="I6" s="4"/>
      <c r="J6" s="4"/>
      <c r="K6" s="38"/>
      <c r="L6" s="38"/>
      <c r="M6" s="38"/>
      <c r="N6" s="38"/>
      <c r="O6" s="38"/>
      <c r="P6" s="10"/>
      <c r="Q6" s="35"/>
      <c r="V6" s="8" t="s">
        <v>26</v>
      </c>
      <c r="W6" s="47">
        <f>H13</f>
        <v>15472</v>
      </c>
      <c r="X6" s="4">
        <f>I13</f>
        <v>12879</v>
      </c>
      <c r="Y6" s="4">
        <f>J13</f>
        <v>20308</v>
      </c>
      <c r="Z6" s="4">
        <v>485</v>
      </c>
      <c r="AA6" s="38">
        <v>0</v>
      </c>
      <c r="AB6" s="38">
        <v>0</v>
      </c>
      <c r="AC6" s="10">
        <f>SUM(W6:AB6)</f>
        <v>49144</v>
      </c>
    </row>
    <row r="7" spans="3:36" x14ac:dyDescent="0.25">
      <c r="C7" s="8"/>
      <c r="D7" s="6" t="s">
        <v>2</v>
      </c>
      <c r="E7" s="4">
        <v>13678</v>
      </c>
      <c r="F7" s="79">
        <v>25598</v>
      </c>
      <c r="G7" s="79">
        <v>34730</v>
      </c>
      <c r="H7" s="4">
        <v>21622</v>
      </c>
      <c r="I7" s="4">
        <v>9397</v>
      </c>
      <c r="J7" s="4">
        <v>15635</v>
      </c>
      <c r="K7" s="38">
        <v>17527</v>
      </c>
      <c r="L7" s="38">
        <v>19515</v>
      </c>
      <c r="M7" s="38">
        <v>11810</v>
      </c>
      <c r="N7" s="38">
        <v>14765</v>
      </c>
      <c r="O7" s="38">
        <v>11797</v>
      </c>
      <c r="P7" s="10">
        <f t="shared" ref="P7:P13" si="0">SUM(E7:O7)</f>
        <v>196074</v>
      </c>
      <c r="Q7" s="35"/>
      <c r="V7" s="57" t="s">
        <v>6</v>
      </c>
      <c r="W7" s="47">
        <f>H12</f>
        <v>13085</v>
      </c>
      <c r="X7" s="4">
        <f>I12</f>
        <v>14850</v>
      </c>
      <c r="Y7" s="4">
        <f>J12</f>
        <v>14850</v>
      </c>
      <c r="Z7" s="4">
        <f>K12</f>
        <v>16100</v>
      </c>
      <c r="AA7" s="38">
        <v>15450</v>
      </c>
      <c r="AB7" s="38">
        <v>15750</v>
      </c>
      <c r="AC7" s="10">
        <f t="shared" ref="AC7:AC11" si="1">SUM(W7:AB7)</f>
        <v>90085</v>
      </c>
    </row>
    <row r="8" spans="3:36" x14ac:dyDescent="0.25">
      <c r="C8" s="8"/>
      <c r="D8" s="6" t="s">
        <v>4</v>
      </c>
      <c r="E8" s="4">
        <v>3340</v>
      </c>
      <c r="F8" s="79">
        <v>4177</v>
      </c>
      <c r="G8" s="79">
        <v>5587</v>
      </c>
      <c r="H8" s="4">
        <v>4599</v>
      </c>
      <c r="I8" s="4">
        <v>1925</v>
      </c>
      <c r="J8" s="4">
        <v>675</v>
      </c>
      <c r="K8" s="38">
        <v>0</v>
      </c>
      <c r="L8" s="38">
        <v>0</v>
      </c>
      <c r="M8" s="38">
        <v>730</v>
      </c>
      <c r="N8" s="38">
        <v>4145</v>
      </c>
      <c r="O8" s="38">
        <v>2350</v>
      </c>
      <c r="P8" s="10">
        <f t="shared" si="0"/>
        <v>27528</v>
      </c>
      <c r="Q8" s="35"/>
      <c r="V8" s="57" t="s">
        <v>25</v>
      </c>
      <c r="W8" s="47">
        <f>H14</f>
        <v>75200</v>
      </c>
      <c r="X8" s="4">
        <f>I14</f>
        <v>68000</v>
      </c>
      <c r="Y8" s="4">
        <f>J14</f>
        <v>64320</v>
      </c>
      <c r="Z8" s="4">
        <f>K14</f>
        <v>88170</v>
      </c>
      <c r="AA8" s="38">
        <f>117043*80%</f>
        <v>93634.400000000009</v>
      </c>
      <c r="AB8" s="38">
        <v>133178</v>
      </c>
      <c r="AC8" s="10">
        <f t="shared" si="1"/>
        <v>522502.40000000002</v>
      </c>
    </row>
    <row r="9" spans="3:36" x14ac:dyDescent="0.25">
      <c r="C9" s="8"/>
      <c r="D9" s="6" t="s">
        <v>3</v>
      </c>
      <c r="E9" s="4">
        <v>18737</v>
      </c>
      <c r="F9" s="79">
        <v>14588</v>
      </c>
      <c r="G9" s="79">
        <v>15807</v>
      </c>
      <c r="H9" s="4">
        <f>24107-H11-H10</f>
        <v>16599</v>
      </c>
      <c r="I9" s="4">
        <f>30577-I11-I10</f>
        <v>19977</v>
      </c>
      <c r="J9" s="4">
        <f>35487-J11-J10</f>
        <v>24302</v>
      </c>
      <c r="K9" s="4">
        <f>36944-K11-K10</f>
        <v>23769</v>
      </c>
      <c r="L9" s="38">
        <v>21706</v>
      </c>
      <c r="M9" s="38">
        <v>26335</v>
      </c>
      <c r="N9" s="38">
        <f>35658-N10-N11</f>
        <v>26568</v>
      </c>
      <c r="O9" s="38">
        <f>31624-O10-O11</f>
        <v>21464</v>
      </c>
      <c r="P9" s="10">
        <f t="shared" si="0"/>
        <v>229852</v>
      </c>
      <c r="Q9" s="35"/>
      <c r="V9" s="57" t="s">
        <v>3</v>
      </c>
      <c r="W9" s="47">
        <f>H9</f>
        <v>16599</v>
      </c>
      <c r="X9" s="4">
        <f>I9</f>
        <v>19977</v>
      </c>
      <c r="Y9" s="4">
        <f>J9</f>
        <v>24302</v>
      </c>
      <c r="Z9" s="4">
        <f>K9</f>
        <v>23769</v>
      </c>
      <c r="AA9" s="38">
        <f>22244-538</f>
        <v>21706</v>
      </c>
      <c r="AB9" s="38">
        <f>37665-AB10</f>
        <v>26625</v>
      </c>
      <c r="AC9" s="10">
        <f t="shared" si="1"/>
        <v>132978</v>
      </c>
    </row>
    <row r="10" spans="3:36" x14ac:dyDescent="0.25">
      <c r="C10" s="8"/>
      <c r="D10" s="6" t="s">
        <v>28</v>
      </c>
      <c r="E10" s="4">
        <v>750</v>
      </c>
      <c r="F10" s="79">
        <v>6054</v>
      </c>
      <c r="G10" s="79">
        <v>1707</v>
      </c>
      <c r="H10" s="4">
        <f>665+615+130+170</f>
        <v>1580</v>
      </c>
      <c r="I10" s="4">
        <f>510+445+85+335</f>
        <v>1375</v>
      </c>
      <c r="J10" s="4">
        <f>330+585+130+210</f>
        <v>1255</v>
      </c>
      <c r="K10" s="38">
        <f>105+110+510</f>
        <v>725</v>
      </c>
      <c r="L10" s="38">
        <v>538</v>
      </c>
      <c r="M10" s="38">
        <v>290</v>
      </c>
      <c r="N10" s="38">
        <v>310</v>
      </c>
      <c r="O10" s="38">
        <v>160</v>
      </c>
      <c r="P10" s="10">
        <f t="shared" si="0"/>
        <v>14744</v>
      </c>
      <c r="Q10" s="35"/>
      <c r="V10" s="57" t="s">
        <v>5</v>
      </c>
      <c r="W10" s="47">
        <f>H11</f>
        <v>5928</v>
      </c>
      <c r="X10" s="4">
        <f>I11</f>
        <v>9225</v>
      </c>
      <c r="Y10" s="4">
        <f>J11</f>
        <v>9930</v>
      </c>
      <c r="Z10" s="4">
        <f>K11</f>
        <v>12450</v>
      </c>
      <c r="AA10" s="38">
        <v>11400</v>
      </c>
      <c r="AB10" s="38">
        <v>11040</v>
      </c>
      <c r="AC10" s="10">
        <f t="shared" si="1"/>
        <v>59973</v>
      </c>
    </row>
    <row r="11" spans="3:36" x14ac:dyDescent="0.25">
      <c r="C11" s="8"/>
      <c r="D11" s="6" t="s">
        <v>5</v>
      </c>
      <c r="E11" s="4">
        <f>12510-750</f>
        <v>11760</v>
      </c>
      <c r="F11" s="79">
        <v>732</v>
      </c>
      <c r="G11" s="79">
        <v>4585</v>
      </c>
      <c r="H11" s="4">
        <v>5928</v>
      </c>
      <c r="I11" s="4">
        <v>9225</v>
      </c>
      <c r="J11" s="4">
        <v>9930</v>
      </c>
      <c r="K11" s="38">
        <v>12450</v>
      </c>
      <c r="L11" s="38">
        <v>11400</v>
      </c>
      <c r="M11" s="38">
        <v>11040</v>
      </c>
      <c r="N11" s="38">
        <v>8780</v>
      </c>
      <c r="O11" s="38">
        <v>10000</v>
      </c>
      <c r="P11" s="10">
        <f t="shared" si="0"/>
        <v>95830</v>
      </c>
      <c r="Q11" s="35"/>
      <c r="V11" s="57" t="s">
        <v>4</v>
      </c>
      <c r="W11" s="47">
        <f>H8</f>
        <v>4599</v>
      </c>
      <c r="X11" s="4">
        <f>I8</f>
        <v>1925</v>
      </c>
      <c r="Y11" s="4">
        <f>J8</f>
        <v>675</v>
      </c>
      <c r="Z11" s="4">
        <f>K8</f>
        <v>0</v>
      </c>
      <c r="AA11" s="38">
        <v>0</v>
      </c>
      <c r="AB11" s="38">
        <v>0</v>
      </c>
      <c r="AC11" s="10">
        <f t="shared" si="1"/>
        <v>7199</v>
      </c>
    </row>
    <row r="12" spans="3:36" x14ac:dyDescent="0.25">
      <c r="C12" s="8"/>
      <c r="D12" s="6" t="s">
        <v>6</v>
      </c>
      <c r="E12" s="4">
        <v>12680</v>
      </c>
      <c r="F12" s="79">
        <v>11415</v>
      </c>
      <c r="G12" s="79">
        <v>13455</v>
      </c>
      <c r="H12" s="4">
        <v>13085</v>
      </c>
      <c r="I12" s="4">
        <v>14850</v>
      </c>
      <c r="J12" s="4">
        <v>14850</v>
      </c>
      <c r="K12" s="38">
        <v>16100</v>
      </c>
      <c r="L12" s="38">
        <v>15975</v>
      </c>
      <c r="M12" s="38">
        <v>15750</v>
      </c>
      <c r="N12" s="38">
        <v>16225</v>
      </c>
      <c r="O12" s="38">
        <v>15750</v>
      </c>
      <c r="P12" s="10">
        <f t="shared" si="0"/>
        <v>160135</v>
      </c>
      <c r="Q12" s="35"/>
      <c r="V12" s="8"/>
      <c r="W12" s="4"/>
      <c r="X12" s="4"/>
      <c r="Y12" s="4"/>
      <c r="Z12" s="4"/>
      <c r="AA12" s="38"/>
      <c r="AB12" s="38"/>
      <c r="AC12" s="10"/>
    </row>
    <row r="13" spans="3:36" ht="15.75" thickBot="1" x14ac:dyDescent="0.3">
      <c r="C13" s="8"/>
      <c r="D13" s="6" t="s">
        <v>7</v>
      </c>
      <c r="E13" s="4">
        <v>6248</v>
      </c>
      <c r="F13" s="79">
        <v>4619</v>
      </c>
      <c r="G13" s="79">
        <v>18063</v>
      </c>
      <c r="H13" s="4">
        <v>15472</v>
      </c>
      <c r="I13" s="4">
        <v>12879</v>
      </c>
      <c r="J13" s="4">
        <v>20308</v>
      </c>
      <c r="K13" s="38">
        <v>20505</v>
      </c>
      <c r="L13" s="38">
        <v>11111</v>
      </c>
      <c r="M13" s="38">
        <v>9950</v>
      </c>
      <c r="N13" s="38">
        <v>16038</v>
      </c>
      <c r="O13" s="38">
        <v>14437</v>
      </c>
      <c r="P13" s="10">
        <f t="shared" si="0"/>
        <v>149630</v>
      </c>
      <c r="Q13" s="35"/>
      <c r="V13" s="59"/>
      <c r="W13" s="17"/>
      <c r="X13" s="17"/>
      <c r="Y13" s="17"/>
      <c r="Z13" s="17"/>
      <c r="AA13" s="39"/>
      <c r="AB13" s="39"/>
      <c r="AC13" s="18"/>
      <c r="AE13" s="9" t="s">
        <v>9</v>
      </c>
      <c r="AF13" s="4"/>
      <c r="AG13" s="4"/>
      <c r="AH13" s="4"/>
      <c r="AI13" s="4"/>
      <c r="AJ13" s="10"/>
    </row>
    <row r="14" spans="3:36" ht="16.5" thickBot="1" x14ac:dyDescent="0.3">
      <c r="C14" s="8"/>
      <c r="D14" s="6" t="s">
        <v>25</v>
      </c>
      <c r="E14" s="4">
        <f>108137.43*80%</f>
        <v>86509.944000000003</v>
      </c>
      <c r="F14" s="80">
        <f>96419.5*80%</f>
        <v>77135.600000000006</v>
      </c>
      <c r="G14" s="80">
        <f>109223.87*80%</f>
        <v>87379.096000000005</v>
      </c>
      <c r="H14" s="17">
        <v>75200</v>
      </c>
      <c r="I14" s="17">
        <v>68000</v>
      </c>
      <c r="J14" s="17">
        <v>64320</v>
      </c>
      <c r="K14" s="39">
        <v>88170</v>
      </c>
      <c r="L14" s="39">
        <f>117045*80%</f>
        <v>93636</v>
      </c>
      <c r="M14" s="39">
        <f>166473*80%</f>
        <v>133178.4</v>
      </c>
      <c r="N14" s="39">
        <f>132000*80%</f>
        <v>105600</v>
      </c>
      <c r="O14" s="39">
        <f>166000*80%</f>
        <v>132800</v>
      </c>
      <c r="P14" s="10">
        <f>SUM(E14:O14)</f>
        <v>1011929.04</v>
      </c>
      <c r="Q14" s="35"/>
      <c r="V14" s="51" t="s">
        <v>35</v>
      </c>
      <c r="W14" s="52">
        <f t="shared" ref="W14:AC14" si="2">SUM(W6:W13)</f>
        <v>130883</v>
      </c>
      <c r="X14" s="52">
        <f t="shared" si="2"/>
        <v>126856</v>
      </c>
      <c r="Y14" s="52">
        <f t="shared" si="2"/>
        <v>134385</v>
      </c>
      <c r="Z14" s="52">
        <f t="shared" si="2"/>
        <v>140974</v>
      </c>
      <c r="AA14" s="66">
        <f t="shared" si="2"/>
        <v>142190.40000000002</v>
      </c>
      <c r="AB14" s="66">
        <f t="shared" si="2"/>
        <v>186593</v>
      </c>
      <c r="AC14" s="66">
        <f t="shared" si="2"/>
        <v>861881.4</v>
      </c>
      <c r="AE14" s="58" t="s">
        <v>10</v>
      </c>
      <c r="AF14" s="4">
        <v>1368</v>
      </c>
      <c r="AG14" s="4">
        <v>1578</v>
      </c>
      <c r="AH14" s="4">
        <v>940</v>
      </c>
      <c r="AI14" s="4">
        <v>1230</v>
      </c>
      <c r="AJ14" s="10">
        <f t="shared" ref="AJ14:AJ20" si="3">SUM(AF14:AI14)</f>
        <v>5116</v>
      </c>
    </row>
    <row r="15" spans="3:36" ht="19.5" thickBot="1" x14ac:dyDescent="0.35">
      <c r="C15" s="8"/>
      <c r="D15" s="16"/>
      <c r="E15" s="19">
        <f>SUM(E7:E14)</f>
        <v>153702.94400000002</v>
      </c>
      <c r="F15" s="20">
        <f>SUM(F7:F14)</f>
        <v>144318.6</v>
      </c>
      <c r="G15" s="20">
        <f>SUM(G7:G14)</f>
        <v>181313.09600000002</v>
      </c>
      <c r="H15" s="71">
        <f>SUM(H7:H14)</f>
        <v>154085</v>
      </c>
      <c r="I15" s="20">
        <f t="shared" ref="I15:J15" si="4">SUM(I7:I14)</f>
        <v>137628</v>
      </c>
      <c r="J15" s="20">
        <f t="shared" si="4"/>
        <v>151275</v>
      </c>
      <c r="K15" s="40">
        <f>SUM(K7:K14)</f>
        <v>179246</v>
      </c>
      <c r="L15" s="40">
        <f>SUM(L7:L14)</f>
        <v>173881</v>
      </c>
      <c r="M15" s="40">
        <f>SUM(M7:M14)</f>
        <v>209083.4</v>
      </c>
      <c r="N15" s="40">
        <f>SUM(N7:N14)</f>
        <v>192431</v>
      </c>
      <c r="O15" s="40">
        <f>SUM(O7:O14)</f>
        <v>208758</v>
      </c>
      <c r="P15" s="21">
        <f>SUM(P7:P14)</f>
        <v>1885722.04</v>
      </c>
      <c r="Q15" s="36"/>
      <c r="V15" s="113" t="s">
        <v>40</v>
      </c>
      <c r="W15" s="114"/>
      <c r="X15" s="114"/>
      <c r="Y15" s="114"/>
      <c r="Z15" s="114"/>
      <c r="AA15" s="114"/>
      <c r="AB15" s="114"/>
      <c r="AC15" s="115"/>
      <c r="AE15" s="58" t="s">
        <v>11</v>
      </c>
      <c r="AF15" s="4">
        <v>1444</v>
      </c>
      <c r="AG15" s="4">
        <v>3117</v>
      </c>
      <c r="AH15" s="4">
        <v>3815</v>
      </c>
      <c r="AI15" s="4">
        <v>900</v>
      </c>
      <c r="AJ15" s="10">
        <f t="shared" si="3"/>
        <v>9276</v>
      </c>
    </row>
    <row r="16" spans="3:36" x14ac:dyDescent="0.25">
      <c r="C16" s="8"/>
      <c r="D16" s="2"/>
      <c r="E16" s="13"/>
      <c r="F16" s="13"/>
      <c r="G16" s="13"/>
      <c r="H16" s="13"/>
      <c r="I16" s="13"/>
      <c r="J16" s="13"/>
      <c r="K16" s="41"/>
      <c r="L16" s="41"/>
      <c r="M16" s="41"/>
      <c r="N16" s="41"/>
      <c r="O16" s="41"/>
      <c r="P16" s="14"/>
      <c r="Q16" s="35"/>
      <c r="V16" s="58" t="s">
        <v>15</v>
      </c>
      <c r="W16" s="4">
        <v>5280</v>
      </c>
      <c r="X16" s="4">
        <v>3070</v>
      </c>
      <c r="Y16" s="4">
        <v>8440</v>
      </c>
      <c r="Z16" s="4">
        <v>1810</v>
      </c>
      <c r="AA16" s="1">
        <v>3170</v>
      </c>
      <c r="AB16" s="1">
        <v>6266</v>
      </c>
      <c r="AC16" s="10">
        <f t="shared" ref="AC16:AC17" si="5">SUM(W16:AB16)</f>
        <v>28036</v>
      </c>
      <c r="AE16" s="58" t="s">
        <v>12</v>
      </c>
      <c r="AF16" s="4">
        <v>540</v>
      </c>
      <c r="AG16" s="4">
        <v>1560</v>
      </c>
      <c r="AH16" s="4">
        <v>710</v>
      </c>
      <c r="AI16" s="4">
        <v>1425</v>
      </c>
      <c r="AJ16" s="10">
        <f t="shared" si="3"/>
        <v>4235</v>
      </c>
    </row>
    <row r="17" spans="3:36" x14ac:dyDescent="0.25">
      <c r="C17" s="8"/>
      <c r="D17" s="5" t="s">
        <v>8</v>
      </c>
      <c r="E17" s="75"/>
      <c r="F17" s="75"/>
      <c r="G17" s="75"/>
      <c r="H17" s="4"/>
      <c r="I17" s="4"/>
      <c r="J17" s="4"/>
      <c r="K17" s="38"/>
      <c r="L17" s="38"/>
      <c r="M17" s="38"/>
      <c r="N17" s="38"/>
      <c r="O17" s="38"/>
      <c r="P17" s="10"/>
      <c r="Q17" s="35"/>
      <c r="V17" s="58" t="s">
        <v>16</v>
      </c>
      <c r="W17" s="4">
        <v>12900</v>
      </c>
      <c r="X17" s="4">
        <v>13824</v>
      </c>
      <c r="Y17" s="4">
        <v>14540</v>
      </c>
      <c r="Z17" s="4">
        <v>8064</v>
      </c>
      <c r="AA17" s="38">
        <v>14240</v>
      </c>
      <c r="AB17" s="38">
        <v>10080</v>
      </c>
      <c r="AC17" s="10">
        <f t="shared" si="5"/>
        <v>73648</v>
      </c>
      <c r="AE17" s="58" t="s">
        <v>13</v>
      </c>
      <c r="AF17" s="4">
        <v>14607</v>
      </c>
      <c r="AG17" s="4">
        <v>19700</v>
      </c>
      <c r="AH17" s="4">
        <v>16529</v>
      </c>
      <c r="AI17" s="4">
        <v>21101</v>
      </c>
      <c r="AJ17" s="10">
        <f t="shared" si="3"/>
        <v>71937</v>
      </c>
    </row>
    <row r="18" spans="3:36" x14ac:dyDescent="0.25">
      <c r="C18" s="8"/>
      <c r="D18" s="2" t="s">
        <v>9</v>
      </c>
      <c r="E18" s="4"/>
      <c r="F18" s="4"/>
      <c r="G18" s="4"/>
      <c r="H18" s="4"/>
      <c r="I18" s="4"/>
      <c r="J18" s="4"/>
      <c r="K18" s="38"/>
      <c r="L18" s="38"/>
      <c r="M18" s="38"/>
      <c r="N18" s="38"/>
      <c r="O18" s="38"/>
      <c r="P18" s="10"/>
      <c r="Q18" s="35"/>
      <c r="V18" s="8" t="s">
        <v>41</v>
      </c>
      <c r="W18" s="4">
        <f>12000+7000+10000+18000+9000+5133+7000</f>
        <v>68133</v>
      </c>
      <c r="X18" s="4">
        <f>12000+677+8065+21000+9000+5419+6548</f>
        <v>62709</v>
      </c>
      <c r="Y18" s="4">
        <f>12000+10000+21000+7800+7000+7000</f>
        <v>64800</v>
      </c>
      <c r="Z18" s="4">
        <f>12000+10000+21000+9000+6097+7000</f>
        <v>65097</v>
      </c>
      <c r="AA18" s="38">
        <f>Z18</f>
        <v>65097</v>
      </c>
      <c r="AB18" s="38">
        <v>59000</v>
      </c>
      <c r="AC18" s="10">
        <f>SUM(W18:AB18)</f>
        <v>384836</v>
      </c>
      <c r="AE18" s="58" t="s">
        <v>14</v>
      </c>
      <c r="AF18" s="4">
        <v>49446</v>
      </c>
      <c r="AG18" s="4">
        <v>50895</v>
      </c>
      <c r="AH18" s="4">
        <v>34890</v>
      </c>
      <c r="AI18" s="4">
        <v>52584</v>
      </c>
      <c r="AJ18" s="10">
        <f t="shared" si="3"/>
        <v>187815</v>
      </c>
    </row>
    <row r="19" spans="3:36" x14ac:dyDescent="0.25">
      <c r="C19" s="8"/>
      <c r="D19" s="7" t="s">
        <v>10</v>
      </c>
      <c r="E19" s="76">
        <v>790</v>
      </c>
      <c r="F19" s="76">
        <v>1310</v>
      </c>
      <c r="G19" s="76">
        <v>1660</v>
      </c>
      <c r="H19" s="4">
        <v>1368</v>
      </c>
      <c r="I19" s="4">
        <v>1578</v>
      </c>
      <c r="J19" s="4">
        <v>940</v>
      </c>
      <c r="K19" s="38">
        <v>1230</v>
      </c>
      <c r="L19" s="38">
        <v>290</v>
      </c>
      <c r="M19" s="38">
        <v>180</v>
      </c>
      <c r="N19" s="38">
        <v>884</v>
      </c>
      <c r="O19" s="116">
        <v>85665</v>
      </c>
      <c r="P19" s="10">
        <f>SUM(E19:O19)</f>
        <v>95895</v>
      </c>
      <c r="Q19" s="35"/>
      <c r="V19" s="8" t="s">
        <v>30</v>
      </c>
      <c r="W19" s="4">
        <f>9500+9500+6645</f>
        <v>25645</v>
      </c>
      <c r="X19" s="4">
        <v>44906.400000000001</v>
      </c>
      <c r="Y19" s="4">
        <f>20761+40342</f>
        <v>61103</v>
      </c>
      <c r="Z19" s="4"/>
      <c r="AA19" s="38">
        <v>132460</v>
      </c>
      <c r="AB19" s="38">
        <v>0</v>
      </c>
      <c r="AC19" s="10">
        <f>SUM(W19:AB19)</f>
        <v>264114.40000000002</v>
      </c>
      <c r="AE19" s="58" t="s">
        <v>15</v>
      </c>
      <c r="AF19" s="4">
        <v>5280</v>
      </c>
      <c r="AG19" s="4">
        <v>3070</v>
      </c>
      <c r="AH19" s="4">
        <v>8440</v>
      </c>
      <c r="AI19" s="4">
        <v>1810</v>
      </c>
      <c r="AJ19" s="10">
        <f t="shared" si="3"/>
        <v>18600</v>
      </c>
    </row>
    <row r="20" spans="3:36" ht="15.75" thickBot="1" x14ac:dyDescent="0.3">
      <c r="C20" s="8"/>
      <c r="D20" s="7" t="s">
        <v>11</v>
      </c>
      <c r="E20" s="76">
        <v>1540</v>
      </c>
      <c r="F20" s="76">
        <v>2649</v>
      </c>
      <c r="G20" s="76">
        <v>970</v>
      </c>
      <c r="H20" s="4">
        <v>1444</v>
      </c>
      <c r="I20" s="4">
        <v>3117</v>
      </c>
      <c r="J20" s="4">
        <v>3815</v>
      </c>
      <c r="K20" s="38">
        <v>900</v>
      </c>
      <c r="L20" s="38">
        <v>660</v>
      </c>
      <c r="M20" s="38">
        <v>3555</v>
      </c>
      <c r="N20" s="38">
        <v>3325</v>
      </c>
      <c r="O20" s="117"/>
      <c r="P20" s="10">
        <f t="shared" ref="P20:P25" si="6">SUM(E20:O20)</f>
        <v>21975</v>
      </c>
      <c r="Q20" s="35"/>
      <c r="V20" s="9"/>
      <c r="W20" s="4"/>
      <c r="X20" s="4"/>
      <c r="Y20" s="4"/>
      <c r="Z20" s="4"/>
      <c r="AA20" s="38"/>
      <c r="AB20" s="38"/>
      <c r="AC20" s="10"/>
      <c r="AE20" s="58" t="s">
        <v>16</v>
      </c>
      <c r="AF20" s="4">
        <v>12761</v>
      </c>
      <c r="AG20" s="4">
        <v>11690</v>
      </c>
      <c r="AH20" s="4">
        <v>12800</v>
      </c>
      <c r="AI20" s="4">
        <v>6464</v>
      </c>
      <c r="AJ20" s="10">
        <f t="shared" si="3"/>
        <v>43715</v>
      </c>
    </row>
    <row r="21" spans="3:36" ht="19.5" thickBot="1" x14ac:dyDescent="0.35">
      <c r="C21" s="8"/>
      <c r="D21" s="7" t="s">
        <v>12</v>
      </c>
      <c r="E21" s="76">
        <v>450</v>
      </c>
      <c r="F21" s="76">
        <v>740</v>
      </c>
      <c r="G21" s="76">
        <v>1985</v>
      </c>
      <c r="H21" s="4">
        <v>540</v>
      </c>
      <c r="I21" s="4">
        <v>1560</v>
      </c>
      <c r="J21" s="4">
        <v>710</v>
      </c>
      <c r="K21" s="38">
        <v>1425</v>
      </c>
      <c r="L21" s="38">
        <v>1685</v>
      </c>
      <c r="M21" s="38">
        <v>885</v>
      </c>
      <c r="N21" s="38">
        <v>1000</v>
      </c>
      <c r="O21" s="117"/>
      <c r="P21" s="10">
        <f t="shared" si="6"/>
        <v>10980</v>
      </c>
      <c r="Q21" s="35"/>
      <c r="V21" s="56" t="s">
        <v>36</v>
      </c>
      <c r="W21" s="53">
        <f t="shared" ref="W21:AC21" si="7">SUM(W16:W20)</f>
        <v>111958</v>
      </c>
      <c r="X21" s="54">
        <f t="shared" si="7"/>
        <v>124509.4</v>
      </c>
      <c r="Y21" s="54">
        <f t="shared" si="7"/>
        <v>148883</v>
      </c>
      <c r="Z21" s="54">
        <f t="shared" si="7"/>
        <v>74971</v>
      </c>
      <c r="AA21" s="54">
        <f t="shared" si="7"/>
        <v>214967</v>
      </c>
      <c r="AB21" s="69">
        <f>SUM(AB16:AB19)</f>
        <v>75346</v>
      </c>
      <c r="AC21" s="55">
        <f t="shared" si="7"/>
        <v>750634.4</v>
      </c>
    </row>
    <row r="22" spans="3:36" ht="15.75" thickBot="1" x14ac:dyDescent="0.3">
      <c r="C22" s="8"/>
      <c r="D22" s="7" t="s">
        <v>13</v>
      </c>
      <c r="E22" s="76">
        <v>10315</v>
      </c>
      <c r="F22" s="76">
        <v>10090</v>
      </c>
      <c r="G22" s="76">
        <v>13808</v>
      </c>
      <c r="H22" s="4">
        <v>14607</v>
      </c>
      <c r="I22" s="4">
        <v>19700</v>
      </c>
      <c r="J22" s="4">
        <v>16529</v>
      </c>
      <c r="K22" s="38">
        <v>21101</v>
      </c>
      <c r="L22" s="38">
        <v>20318</v>
      </c>
      <c r="M22" s="38">
        <v>18557</v>
      </c>
      <c r="N22" s="38">
        <v>25556</v>
      </c>
      <c r="O22" s="117"/>
      <c r="P22" s="10">
        <f t="shared" si="6"/>
        <v>170581</v>
      </c>
      <c r="Q22" s="35"/>
      <c r="V22" s="101"/>
      <c r="W22" s="102"/>
      <c r="X22" s="102"/>
      <c r="Y22" s="102"/>
      <c r="Z22" s="102"/>
      <c r="AA22" s="102"/>
      <c r="AB22" s="102"/>
      <c r="AC22" s="103"/>
      <c r="AE22" s="59" t="s">
        <v>19</v>
      </c>
      <c r="AF22" s="17">
        <f>12000+7000+10000+18000+9000+5133+7000</f>
        <v>68133</v>
      </c>
      <c r="AG22" s="17">
        <f>12000+677+8065+21000+9000+5419+6548</f>
        <v>62709</v>
      </c>
      <c r="AH22" s="17">
        <f>12000+10000+21000+7800+7000+7000</f>
        <v>64800</v>
      </c>
      <c r="AI22" s="17">
        <f>12000+10000+21000+9000+6097+7000</f>
        <v>65097</v>
      </c>
      <c r="AJ22" s="18">
        <f>SUM(AF22:AI22)</f>
        <v>260739</v>
      </c>
    </row>
    <row r="23" spans="3:36" ht="19.5" thickBot="1" x14ac:dyDescent="0.35">
      <c r="C23" s="8"/>
      <c r="D23" s="7" t="s">
        <v>14</v>
      </c>
      <c r="E23" s="76">
        <v>36289</v>
      </c>
      <c r="F23" s="76">
        <v>28629</v>
      </c>
      <c r="G23" s="76">
        <v>48456</v>
      </c>
      <c r="H23" s="4">
        <v>13808</v>
      </c>
      <c r="I23" s="4">
        <v>50895</v>
      </c>
      <c r="J23" s="4">
        <v>34890</v>
      </c>
      <c r="K23" s="38">
        <v>52584</v>
      </c>
      <c r="L23" s="38">
        <v>57991</v>
      </c>
      <c r="M23" s="38">
        <v>63742</v>
      </c>
      <c r="N23" s="38">
        <v>58340</v>
      </c>
      <c r="O23" s="118"/>
      <c r="P23" s="10">
        <f t="shared" si="6"/>
        <v>445624</v>
      </c>
      <c r="Q23" s="35"/>
      <c r="V23" s="61" t="s">
        <v>37</v>
      </c>
      <c r="W23" s="62">
        <f t="shared" ref="W23:AB23" si="8">W14-W21</f>
        <v>18925</v>
      </c>
      <c r="X23" s="62">
        <f t="shared" si="8"/>
        <v>2346.6000000000058</v>
      </c>
      <c r="Y23" s="68">
        <f t="shared" si="8"/>
        <v>-14498</v>
      </c>
      <c r="Z23" s="62">
        <f t="shared" si="8"/>
        <v>66003</v>
      </c>
      <c r="AA23" s="62">
        <f t="shared" si="8"/>
        <v>-72776.599999999977</v>
      </c>
      <c r="AB23" s="62">
        <f t="shared" si="8"/>
        <v>111247</v>
      </c>
      <c r="AC23" s="63">
        <f>SUM(W23:AA23)</f>
        <v>0</v>
      </c>
    </row>
    <row r="24" spans="3:36" x14ac:dyDescent="0.25">
      <c r="C24" s="8"/>
      <c r="D24" s="7" t="s">
        <v>15</v>
      </c>
      <c r="E24" s="76">
        <v>0</v>
      </c>
      <c r="F24" s="76">
        <v>0</v>
      </c>
      <c r="G24" s="76">
        <v>3325</v>
      </c>
      <c r="H24" s="4">
        <v>5280</v>
      </c>
      <c r="I24" s="4">
        <v>3070</v>
      </c>
      <c r="J24" s="4">
        <v>8440</v>
      </c>
      <c r="K24" s="38">
        <v>1810</v>
      </c>
      <c r="L24" s="38">
        <v>5675</v>
      </c>
      <c r="M24" s="38">
        <v>6266</v>
      </c>
      <c r="N24" s="38">
        <v>0</v>
      </c>
      <c r="O24" s="38">
        <v>0</v>
      </c>
      <c r="P24" s="10">
        <f t="shared" si="6"/>
        <v>33866</v>
      </c>
      <c r="Q24" s="35"/>
    </row>
    <row r="25" spans="3:36" ht="15.75" thickBot="1" x14ac:dyDescent="0.3">
      <c r="C25" s="8"/>
      <c r="D25" s="7" t="s">
        <v>16</v>
      </c>
      <c r="E25" s="77">
        <v>14266</v>
      </c>
      <c r="F25" s="77">
        <v>9519</v>
      </c>
      <c r="G25" s="77">
        <v>16795</v>
      </c>
      <c r="H25" s="17">
        <v>12761</v>
      </c>
      <c r="I25" s="17">
        <v>11690</v>
      </c>
      <c r="J25" s="17">
        <v>12800</v>
      </c>
      <c r="K25" s="39">
        <v>6464</v>
      </c>
      <c r="L25" s="39">
        <v>10760</v>
      </c>
      <c r="M25" s="39">
        <v>10080</v>
      </c>
      <c r="N25" s="39">
        <v>12460</v>
      </c>
      <c r="O25" s="39">
        <v>14850</v>
      </c>
      <c r="P25" s="10">
        <f t="shared" si="6"/>
        <v>132445</v>
      </c>
      <c r="Q25" s="35"/>
      <c r="AC25" s="1">
        <f>AC23+P26</f>
        <v>911366</v>
      </c>
      <c r="AE25" s="58" t="s">
        <v>15</v>
      </c>
      <c r="AF25" s="4">
        <v>5280</v>
      </c>
      <c r="AG25" s="4">
        <v>3070</v>
      </c>
      <c r="AH25" s="4">
        <v>8440</v>
      </c>
      <c r="AI25" s="4">
        <v>1810</v>
      </c>
      <c r="AJ25" s="10">
        <f>SUM(AF25:AI25)</f>
        <v>18600</v>
      </c>
    </row>
    <row r="26" spans="3:36" s="82" customFormat="1" ht="15.75" thickBot="1" x14ac:dyDescent="0.3">
      <c r="C26" s="9"/>
      <c r="D26" s="22"/>
      <c r="E26" s="19">
        <f>SUM(E19:E25)</f>
        <v>63650</v>
      </c>
      <c r="F26" s="20">
        <f>SUM(F19:F25)</f>
        <v>52937</v>
      </c>
      <c r="G26" s="20">
        <f>SUM(G19:G25)</f>
        <v>86999</v>
      </c>
      <c r="H26" s="20">
        <f t="shared" ref="H26:J26" si="9">SUM(H19:H25)</f>
        <v>49808</v>
      </c>
      <c r="I26" s="20">
        <f t="shared" si="9"/>
        <v>91610</v>
      </c>
      <c r="J26" s="20">
        <f t="shared" si="9"/>
        <v>78124</v>
      </c>
      <c r="K26" s="20">
        <f>SUM(K19:K25)</f>
        <v>85514</v>
      </c>
      <c r="L26" s="20">
        <f>SUM(L19:L25)</f>
        <v>97379</v>
      </c>
      <c r="M26" s="20">
        <f>SUM(M19:M25)</f>
        <v>103265</v>
      </c>
      <c r="N26" s="40">
        <f>SUM(N19:N25)</f>
        <v>101565</v>
      </c>
      <c r="O26" s="40">
        <f>SUM(O19:O25)</f>
        <v>100515</v>
      </c>
      <c r="P26" s="21">
        <f>SUM(P19:P25)</f>
        <v>911366</v>
      </c>
      <c r="Q26" s="36"/>
      <c r="W26" s="83"/>
      <c r="X26" s="83"/>
      <c r="Y26" s="83"/>
      <c r="Z26" s="83"/>
      <c r="AA26" s="83"/>
      <c r="AB26" s="83"/>
      <c r="AC26" s="83"/>
      <c r="AE26" s="84" t="s">
        <v>16</v>
      </c>
      <c r="AF26" s="74">
        <v>12761</v>
      </c>
      <c r="AG26" s="74">
        <v>11690</v>
      </c>
      <c r="AH26" s="74">
        <v>12800</v>
      </c>
      <c r="AI26" s="74">
        <v>6464</v>
      </c>
      <c r="AJ26" s="85">
        <f>SUM(AF26:AI26)</f>
        <v>43715</v>
      </c>
    </row>
    <row r="27" spans="3:36" ht="15.75" thickBot="1" x14ac:dyDescent="0.3">
      <c r="C27" s="8"/>
      <c r="D27" s="2"/>
      <c r="E27" s="23"/>
      <c r="F27" s="23"/>
      <c r="G27" s="23"/>
      <c r="H27" s="23"/>
      <c r="I27" s="23"/>
      <c r="J27" s="23"/>
      <c r="K27" s="42"/>
      <c r="L27" s="42"/>
      <c r="M27" s="42"/>
      <c r="N27" s="42"/>
      <c r="O27" s="42"/>
      <c r="P27" s="24"/>
      <c r="Q27" s="35"/>
      <c r="AE27" s="8" t="s">
        <v>19</v>
      </c>
      <c r="AF27" s="4">
        <f>12000+7000+10000+18000+9000+5133+7000</f>
        <v>68133</v>
      </c>
      <c r="AG27" s="4">
        <f>12000+677+8065+21000+9000+5419+6548</f>
        <v>62709</v>
      </c>
      <c r="AH27" s="4">
        <f>12000+10000+21000+7800+7000+7000</f>
        <v>64800</v>
      </c>
      <c r="AI27" s="4">
        <f>12000+10000+21000+9000+6097+7000</f>
        <v>65097</v>
      </c>
      <c r="AJ27" s="10">
        <f>SUM(AF27:AI27)</f>
        <v>260739</v>
      </c>
    </row>
    <row r="28" spans="3:36" ht="15.75" thickBot="1" x14ac:dyDescent="0.3">
      <c r="C28" s="8"/>
      <c r="D28" s="22" t="s">
        <v>17</v>
      </c>
      <c r="E28" s="25">
        <f t="shared" ref="E28:G28" si="10">E15-E26</f>
        <v>90052.944000000018</v>
      </c>
      <c r="F28" s="25">
        <f t="shared" si="10"/>
        <v>91381.6</v>
      </c>
      <c r="G28" s="25">
        <f t="shared" si="10"/>
        <v>94314.09600000002</v>
      </c>
      <c r="H28" s="25">
        <f>H15-H26</f>
        <v>104277</v>
      </c>
      <c r="I28" s="25">
        <f t="shared" ref="I28:J28" si="11">I15-I26</f>
        <v>46018</v>
      </c>
      <c r="J28" s="25">
        <f t="shared" si="11"/>
        <v>73151</v>
      </c>
      <c r="K28" s="25">
        <f>K15-K26</f>
        <v>93732</v>
      </c>
      <c r="L28" s="25">
        <f t="shared" ref="L28:O28" si="12">L15-L26</f>
        <v>76502</v>
      </c>
      <c r="M28" s="25">
        <f t="shared" si="12"/>
        <v>105818.4</v>
      </c>
      <c r="N28" s="25">
        <f t="shared" si="12"/>
        <v>90866</v>
      </c>
      <c r="O28" s="25">
        <f t="shared" si="12"/>
        <v>108243</v>
      </c>
      <c r="P28" s="26">
        <f>SUM(E28:O28)</f>
        <v>974356.04</v>
      </c>
      <c r="Q28" s="27"/>
      <c r="V28" s="50" t="s">
        <v>28</v>
      </c>
      <c r="W28" s="48">
        <f>H10</f>
        <v>1580</v>
      </c>
      <c r="X28" s="48">
        <f>I10</f>
        <v>1375</v>
      </c>
      <c r="Y28" s="48">
        <f>J10</f>
        <v>1255</v>
      </c>
      <c r="Z28" s="46">
        <f>K10</f>
        <v>725</v>
      </c>
      <c r="AA28" s="67">
        <v>538</v>
      </c>
      <c r="AB28" s="67"/>
      <c r="AC28" s="45">
        <f>SUM(W28:AA28)</f>
        <v>5473</v>
      </c>
    </row>
    <row r="29" spans="3:36" ht="15.75" thickTop="1" x14ac:dyDescent="0.25">
      <c r="C29" s="8"/>
      <c r="D29" s="2"/>
      <c r="E29" s="13"/>
      <c r="F29" s="13"/>
      <c r="G29" s="13"/>
      <c r="H29" s="13"/>
      <c r="I29" s="13"/>
      <c r="J29" s="13"/>
      <c r="K29" s="41"/>
      <c r="L29" s="41"/>
      <c r="M29" s="41"/>
      <c r="N29" s="41"/>
      <c r="O29" s="41"/>
      <c r="P29" s="14"/>
      <c r="Q29" s="35"/>
      <c r="AE29" s="9" t="s">
        <v>31</v>
      </c>
      <c r="AF29" s="4"/>
      <c r="AG29" s="4"/>
      <c r="AH29" s="4"/>
      <c r="AI29" s="4"/>
      <c r="AJ29" s="10"/>
    </row>
    <row r="30" spans="3:36" x14ac:dyDescent="0.25">
      <c r="C30" s="9" t="s">
        <v>18</v>
      </c>
      <c r="D30" s="2"/>
      <c r="E30" s="4"/>
      <c r="F30" s="4"/>
      <c r="G30" s="4"/>
      <c r="H30" s="4"/>
      <c r="I30" s="4"/>
      <c r="J30" s="4"/>
      <c r="K30" s="38"/>
      <c r="L30" s="38"/>
      <c r="M30" s="38"/>
      <c r="N30" s="38"/>
      <c r="O30" s="38"/>
      <c r="P30" s="10"/>
      <c r="Q30" s="35"/>
      <c r="AE30" s="8" t="s">
        <v>32</v>
      </c>
      <c r="AF30" s="4">
        <v>21622</v>
      </c>
      <c r="AG30" s="47">
        <v>9397</v>
      </c>
      <c r="AH30" s="4">
        <v>15635</v>
      </c>
      <c r="AI30" s="47">
        <v>17527</v>
      </c>
      <c r="AJ30" s="10">
        <f>SUM(AF30:AI30)</f>
        <v>64181</v>
      </c>
    </row>
    <row r="31" spans="3:36" x14ac:dyDescent="0.25">
      <c r="C31" s="8"/>
      <c r="D31" s="2" t="s">
        <v>19</v>
      </c>
      <c r="E31" s="4">
        <v>0</v>
      </c>
      <c r="F31" s="4">
        <v>54018</v>
      </c>
      <c r="G31" s="4">
        <v>61967</v>
      </c>
      <c r="H31" s="4">
        <f>12000+7000+10000+18000+9000+5133+7000</f>
        <v>68133</v>
      </c>
      <c r="I31" s="4">
        <f>12000+677+8065+21000+9000+5419+6548</f>
        <v>62709</v>
      </c>
      <c r="J31" s="4">
        <f>12000+10000+21000+7800+7000+7000</f>
        <v>64800</v>
      </c>
      <c r="K31" s="38">
        <f>12000+10000+21000+9000+6097+7000</f>
        <v>65097</v>
      </c>
      <c r="L31" s="38">
        <v>47959</v>
      </c>
      <c r="M31" s="38">
        <v>48500</v>
      </c>
      <c r="N31" s="38">
        <v>48500</v>
      </c>
      <c r="O31" s="38">
        <v>48500</v>
      </c>
      <c r="P31" s="10">
        <f>SUM(E31:O31)</f>
        <v>570183</v>
      </c>
      <c r="Q31" s="35"/>
      <c r="AE31" s="59" t="s">
        <v>33</v>
      </c>
      <c r="AF31" s="17">
        <v>0</v>
      </c>
      <c r="AG31" s="49">
        <v>0</v>
      </c>
      <c r="AH31" s="17">
        <v>0</v>
      </c>
      <c r="AI31" s="49">
        <v>0</v>
      </c>
      <c r="AJ31" s="18">
        <f>20505-485</f>
        <v>20020</v>
      </c>
    </row>
    <row r="32" spans="3:36" ht="15.75" thickBot="1" x14ac:dyDescent="0.3">
      <c r="C32" s="8"/>
      <c r="D32" s="2"/>
      <c r="E32" s="17"/>
      <c r="F32" s="17"/>
      <c r="G32" s="17"/>
      <c r="H32" s="17"/>
      <c r="I32" s="17"/>
      <c r="J32" s="17"/>
      <c r="K32" s="39"/>
      <c r="L32" s="39"/>
      <c r="M32" s="39"/>
      <c r="N32" s="39"/>
      <c r="O32" s="39"/>
      <c r="P32" s="18"/>
      <c r="Q32" s="35"/>
    </row>
    <row r="33" spans="3:26" ht="15.75" thickBot="1" x14ac:dyDescent="0.3">
      <c r="C33" s="8"/>
      <c r="D33" s="22" t="s">
        <v>20</v>
      </c>
      <c r="E33" s="25">
        <f t="shared" ref="E33:G33" si="13">E28-E31</f>
        <v>90052.944000000018</v>
      </c>
      <c r="F33" s="25">
        <f t="shared" si="13"/>
        <v>37363.600000000006</v>
      </c>
      <c r="G33" s="25">
        <f t="shared" si="13"/>
        <v>32347.09600000002</v>
      </c>
      <c r="H33" s="25">
        <f>H28-H31</f>
        <v>36144</v>
      </c>
      <c r="I33" s="25">
        <f t="shared" ref="I33:J33" si="14">I28-I31</f>
        <v>-16691</v>
      </c>
      <c r="J33" s="25">
        <f t="shared" si="14"/>
        <v>8351</v>
      </c>
      <c r="K33" s="25">
        <f>K28-K31</f>
        <v>28635</v>
      </c>
      <c r="L33" s="25">
        <f t="shared" ref="L33:O33" si="15">L28-L31</f>
        <v>28543</v>
      </c>
      <c r="M33" s="25">
        <f t="shared" si="15"/>
        <v>57318.399999999994</v>
      </c>
      <c r="N33" s="25">
        <f t="shared" si="15"/>
        <v>42366</v>
      </c>
      <c r="O33" s="25">
        <f t="shared" si="15"/>
        <v>59743</v>
      </c>
      <c r="P33" s="26">
        <f>SUM(E33:O33)</f>
        <v>404173.04000000004</v>
      </c>
      <c r="Q33" s="27"/>
    </row>
    <row r="34" spans="3:26" ht="15.75" thickTop="1" x14ac:dyDescent="0.25">
      <c r="C34" s="8"/>
      <c r="D34" s="3"/>
      <c r="E34" s="78"/>
      <c r="F34" s="78"/>
      <c r="G34" s="78"/>
      <c r="H34" s="30"/>
      <c r="I34" s="30"/>
      <c r="J34" s="30"/>
      <c r="K34" s="43"/>
      <c r="L34" s="43"/>
      <c r="M34" s="43"/>
      <c r="N34" s="43"/>
      <c r="O34" s="43"/>
      <c r="P34" s="14"/>
      <c r="Q34" s="27"/>
    </row>
    <row r="35" spans="3:26" ht="15.75" thickBot="1" x14ac:dyDescent="0.3">
      <c r="C35" s="11"/>
      <c r="D35" s="12" t="s">
        <v>24</v>
      </c>
      <c r="E35" s="44">
        <f t="shared" ref="E35:G35" si="16">E33/E15</f>
        <v>0.58588951946164414</v>
      </c>
      <c r="F35" s="44">
        <f t="shared" si="16"/>
        <v>0.25889663563809517</v>
      </c>
      <c r="G35" s="44">
        <f t="shared" si="16"/>
        <v>0.17840463106978227</v>
      </c>
      <c r="H35" s="28">
        <f>H33/H15</f>
        <v>0.23457182723821268</v>
      </c>
      <c r="I35" s="28">
        <f t="shared" ref="I35:J35" si="17">I33/I15</f>
        <v>-0.12127619379777371</v>
      </c>
      <c r="J35" s="28">
        <f t="shared" si="17"/>
        <v>5.5204098496116343E-2</v>
      </c>
      <c r="K35" s="44">
        <f>K33/K15</f>
        <v>0.1597525188846613</v>
      </c>
      <c r="L35" s="44">
        <f t="shared" ref="L35:O35" si="18">L33/L15</f>
        <v>0.16415249509722166</v>
      </c>
      <c r="M35" s="44">
        <f t="shared" si="18"/>
        <v>0.27414132351013998</v>
      </c>
      <c r="N35" s="44">
        <f t="shared" si="18"/>
        <v>0.22016203210501425</v>
      </c>
      <c r="O35" s="44">
        <f t="shared" si="18"/>
        <v>0.28618304448212761</v>
      </c>
      <c r="P35" s="29">
        <f>P33/P15</f>
        <v>0.21433330651425173</v>
      </c>
      <c r="Q35" s="37"/>
    </row>
    <row r="43" spans="3:26" x14ac:dyDescent="0.25">
      <c r="X43" s="1" t="s">
        <v>44</v>
      </c>
      <c r="Y43" s="1" t="s">
        <v>45</v>
      </c>
      <c r="Z43" s="1" t="s">
        <v>46</v>
      </c>
    </row>
    <row r="44" spans="3:26" x14ac:dyDescent="0.25">
      <c r="W44" s="1" t="s">
        <v>42</v>
      </c>
      <c r="X44" s="1">
        <v>16329</v>
      </c>
      <c r="Y44" s="1">
        <v>80944</v>
      </c>
      <c r="Z44" s="1">
        <v>19515</v>
      </c>
    </row>
    <row r="45" spans="3:26" x14ac:dyDescent="0.25">
      <c r="W45" s="1" t="s">
        <v>43</v>
      </c>
      <c r="X45" s="1">
        <v>15911</v>
      </c>
      <c r="Y45" s="1">
        <v>86919</v>
      </c>
      <c r="Z45" s="1">
        <v>11810</v>
      </c>
    </row>
    <row r="46" spans="3:26" x14ac:dyDescent="0.25">
      <c r="X46" s="1">
        <f>SUM(X44:X45)</f>
        <v>32240</v>
      </c>
      <c r="Y46" s="1">
        <f>SUM(Y44:Y45)</f>
        <v>167863</v>
      </c>
      <c r="Z46" s="1">
        <f>SUM(Z44:Z45)</f>
        <v>31325</v>
      </c>
    </row>
    <row r="48" spans="3:26" x14ac:dyDescent="0.25">
      <c r="X48" s="1">
        <f>X44+Z44-Y44</f>
        <v>-45100</v>
      </c>
    </row>
    <row r="49" spans="24:24" x14ac:dyDescent="0.25">
      <c r="X49" s="1">
        <f>X45+Z45-Y45</f>
        <v>-59198</v>
      </c>
    </row>
  </sheetData>
  <mergeCells count="10">
    <mergeCell ref="C3:P3"/>
    <mergeCell ref="C2:P2"/>
    <mergeCell ref="C1:P1"/>
    <mergeCell ref="V5:AC5"/>
    <mergeCell ref="V22:AC22"/>
    <mergeCell ref="V1:AC1"/>
    <mergeCell ref="V2:AC2"/>
    <mergeCell ref="V3:AC3"/>
    <mergeCell ref="V15:AC15"/>
    <mergeCell ref="O19:O23"/>
  </mergeCells>
  <pageMargins left="0.70866141732283472" right="0.70866141732283472" top="0.74803149606299213" bottom="0.74803149606299213" header="0.31496062992125984" footer="0.31496062992125984"/>
  <pageSetup paperSize="9" scale="87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ABC</cp:lastModifiedBy>
  <cp:lastPrinted>2023-10-31T10:31:14Z</cp:lastPrinted>
  <dcterms:created xsi:type="dcterms:W3CDTF">2023-09-07T06:49:32Z</dcterms:created>
  <dcterms:modified xsi:type="dcterms:W3CDTF">2023-12-01T11:49:32Z</dcterms:modified>
</cp:coreProperties>
</file>