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WC2020\"/>
    </mc:Choice>
  </mc:AlternateContent>
  <bookViews>
    <workbookView xWindow="0" yWindow="0" windowWidth="28800" windowHeight="12300"/>
  </bookViews>
  <sheets>
    <sheet name="Subject-subject join" sheetId="1" r:id="rId1"/>
    <sheet name="Subject-object join" sheetId="2" r:id="rId2"/>
    <sheet name="Tree-like join" sheetId="3" r:id="rId3"/>
    <sheet name="Optional  join" sheetId="4" r:id="rId4"/>
  </sheets>
  <calcPr calcId="162913"/>
</workbook>
</file>

<file path=xl/calcChain.xml><?xml version="1.0" encoding="utf-8"?>
<calcChain xmlns="http://schemas.openxmlformats.org/spreadsheetml/2006/main">
  <c r="G10" i="4" l="1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6" i="3"/>
  <c r="F6" i="3"/>
  <c r="E6" i="3"/>
  <c r="D6" i="3"/>
  <c r="G5" i="3"/>
  <c r="F5" i="3"/>
  <c r="E5" i="3"/>
  <c r="D5" i="3"/>
  <c r="G4" i="3"/>
  <c r="F4" i="3"/>
  <c r="E4" i="3"/>
  <c r="D4" i="3"/>
  <c r="F54" i="2"/>
  <c r="E54" i="2"/>
  <c r="D54" i="2"/>
  <c r="F53" i="2"/>
  <c r="E53" i="2"/>
  <c r="D53" i="2"/>
  <c r="F52" i="2"/>
  <c r="E52" i="2"/>
  <c r="D52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G4" i="2"/>
  <c r="F4" i="2"/>
  <c r="E4" i="2"/>
  <c r="D4" i="2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</calcChain>
</file>

<file path=xl/sharedStrings.xml><?xml version="1.0" encoding="utf-8"?>
<sst xmlns="http://schemas.openxmlformats.org/spreadsheetml/2006/main" count="134" uniqueCount="25">
  <si>
    <t>Warm</t>
  </si>
  <si>
    <t>BioBench-Allie-Q2</t>
  </si>
  <si>
    <t>FishMark-Q5</t>
  </si>
  <si>
    <t>BioBench-Allie-Q1</t>
  </si>
  <si>
    <t>100M</t>
  </si>
  <si>
    <t>WatDiv-Q21</t>
  </si>
  <si>
    <t>BowlognaBench-Q7</t>
  </si>
  <si>
    <t>BowlognaBench-Q14</t>
  </si>
  <si>
    <t>WatDiv-Q7</t>
  </si>
  <si>
    <t>FishMark-Q19</t>
  </si>
  <si>
    <t>WatDiv-Q22</t>
  </si>
  <si>
    <t>10M</t>
  </si>
  <si>
    <t>1000M</t>
  </si>
  <si>
    <t>T/O</t>
  </si>
  <si>
    <t>T/O= Time-out</t>
  </si>
  <si>
    <t>Cold</t>
  </si>
  <si>
    <t>BSBM-Q2</t>
  </si>
  <si>
    <t>BSBM-Q4</t>
  </si>
  <si>
    <t xml:space="preserve">
</t>
  </si>
  <si>
    <t>FishMark-Q2</t>
  </si>
  <si>
    <t>Virtuoso (Row)</t>
  </si>
  <si>
    <t>Virtuoso (Column)</t>
  </si>
  <si>
    <t xml:space="preserve">Blazegraph </t>
  </si>
  <si>
    <t>MongoDB</t>
  </si>
  <si>
    <t>Blazegraph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</si>
</sst>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/>
    <xf numFmtId="0" fontId="1" fillId="4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5" borderId="0" xfId="0" applyFont="1" applyFill="1" applyAlignment="1"/>
    <xf numFmtId="0" fontId="2" fillId="6" borderId="0" xfId="0" applyFont="1" applyFill="1"/>
    <xf numFmtId="0" fontId="1" fillId="0" borderId="0" xfId="0" applyFont="1"/>
    <xf numFmtId="0" fontId="2" fillId="6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1" fillId="6" borderId="0" xfId="0" applyFont="1" applyFill="1"/>
    <xf numFmtId="0" fontId="2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'Subject-subject join'!$C$4</c:f>
              <c:strCache>
                <c:ptCount val="1"/>
                <c:pt idx="0">
                  <c:v>FishMark-Q5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'Subject-subject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'Subject-subject join'!$D$4:$G$4</c:f>
              <c:numCache>
                <c:formatCode>General</c:formatCode>
                <c:ptCount val="4"/>
                <c:pt idx="0">
                  <c:v>29045.86</c:v>
                </c:pt>
                <c:pt idx="1">
                  <c:v>89543.81</c:v>
                </c:pt>
                <c:pt idx="2">
                  <c:v>394.24</c:v>
                </c:pt>
                <c:pt idx="3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9-4C99-BFFA-7E881FC14551}"/>
            </c:ext>
          </c:extLst>
        </c:ser>
        <c:ser>
          <c:idx val="1"/>
          <c:order val="1"/>
          <c:tx>
            <c:strRef>
              <c:f>'Subject-subject join'!$C$5</c:f>
              <c:strCache>
                <c:ptCount val="1"/>
                <c:pt idx="0">
                  <c:v>BowlognaBench-Q7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'Subject-subject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'Subject-subject join'!$D$5:$G$5</c:f>
              <c:numCache>
                <c:formatCode>General</c:formatCode>
                <c:ptCount val="4"/>
                <c:pt idx="0">
                  <c:v>183.5</c:v>
                </c:pt>
                <c:pt idx="1">
                  <c:v>152.56</c:v>
                </c:pt>
                <c:pt idx="2">
                  <c:v>242.99</c:v>
                </c:pt>
                <c:pt idx="3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A9-4C99-BFFA-7E881FC14551}"/>
            </c:ext>
          </c:extLst>
        </c:ser>
        <c:ser>
          <c:idx val="2"/>
          <c:order val="2"/>
          <c:tx>
            <c:strRef>
              <c:f>'Subject-subject join'!$C$6</c:f>
              <c:strCache>
                <c:ptCount val="1"/>
                <c:pt idx="0">
                  <c:v>WatDiv-Q7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A7A9-4C99-BFFA-7E881FC1455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A7A9-4C99-BFFA-7E881FC1455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A7A9-4C99-BFFA-7E881FC14551}"/>
              </c:ext>
            </c:extLst>
          </c:dPt>
          <c:cat>
            <c:strRef>
              <c:f>'Subject-subject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'Subject-subject join'!$D$6:$G$6</c:f>
              <c:numCache>
                <c:formatCode>General</c:formatCode>
                <c:ptCount val="4"/>
                <c:pt idx="0">
                  <c:v>10310.07</c:v>
                </c:pt>
                <c:pt idx="1">
                  <c:v>9205.09</c:v>
                </c:pt>
                <c:pt idx="2">
                  <c:v>4731.95</c:v>
                </c:pt>
                <c:pt idx="3">
                  <c:v>27888.97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A9-4C99-BFFA-7E881FC1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'Subject-subject join'!$C$58</c:f>
              <c:strCache>
                <c:ptCount val="1"/>
                <c:pt idx="0">
                  <c:v>FishMark-Q5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'Subject-subject join'!$D$57:$G$57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'Subject-subject join'!$D$58:$G$58</c:f>
              <c:numCache>
                <c:formatCode>General</c:formatCode>
                <c:ptCount val="4"/>
                <c:pt idx="0">
                  <c:v>41678</c:v>
                </c:pt>
                <c:pt idx="1">
                  <c:v>89826</c:v>
                </c:pt>
                <c:pt idx="2">
                  <c:v>243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C-45E6-B2D4-EEC318C6E603}"/>
            </c:ext>
          </c:extLst>
        </c:ser>
        <c:ser>
          <c:idx val="1"/>
          <c:order val="1"/>
          <c:tx>
            <c:strRef>
              <c:f>'Subject-subject join'!$C$59</c:f>
              <c:strCache>
                <c:ptCount val="1"/>
                <c:pt idx="0">
                  <c:v>BowlognaBench-Q7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'Subject-subject join'!$D$57:$G$57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'Subject-subject join'!$D$59:$G$59</c:f>
              <c:numCache>
                <c:formatCode>General</c:formatCode>
                <c:ptCount val="4"/>
                <c:pt idx="0">
                  <c:v>2834</c:v>
                </c:pt>
                <c:pt idx="1">
                  <c:v>1556</c:v>
                </c:pt>
                <c:pt idx="2">
                  <c:v>544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C-45E6-B2D4-EEC318C6E603}"/>
            </c:ext>
          </c:extLst>
        </c:ser>
        <c:ser>
          <c:idx val="2"/>
          <c:order val="2"/>
          <c:tx>
            <c:strRef>
              <c:f>'Subject-subject join'!$C$60</c:f>
              <c:strCache>
                <c:ptCount val="1"/>
                <c:pt idx="0">
                  <c:v>WatDiv-Q7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23AC-45E6-B2D4-EEC318C6E60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23AC-45E6-B2D4-EEC318C6E60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23AC-45E6-B2D4-EEC318C6E603}"/>
              </c:ext>
            </c:extLst>
          </c:dPt>
          <c:cat>
            <c:strRef>
              <c:f>'Subject-subject join'!$D$57:$G$57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'Subject-subject join'!$D$60:$G$60</c:f>
              <c:numCache>
                <c:formatCode>General</c:formatCode>
                <c:ptCount val="4"/>
                <c:pt idx="0">
                  <c:v>32165</c:v>
                </c:pt>
                <c:pt idx="1">
                  <c:v>28864</c:v>
                </c:pt>
                <c:pt idx="2">
                  <c:v>5374</c:v>
                </c:pt>
                <c:pt idx="3">
                  <c:v>28534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AC-45E6-B2D4-EEC318C6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'Subject-object join'!$C$4</c:f>
              <c:strCache>
                <c:ptCount val="1"/>
                <c:pt idx="0">
                  <c:v>BioBench-Allie-Q2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'Subject-object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'Subject-object join'!$D$4:$G$4</c:f>
              <c:numCache>
                <c:formatCode>General</c:formatCode>
                <c:ptCount val="4"/>
                <c:pt idx="0">
                  <c:v>144.04</c:v>
                </c:pt>
                <c:pt idx="1">
                  <c:v>105.06</c:v>
                </c:pt>
                <c:pt idx="2">
                  <c:v>375.41</c:v>
                </c:pt>
                <c:pt idx="3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8-493A-9A0C-6EAA536D0490}"/>
            </c:ext>
          </c:extLst>
        </c:ser>
        <c:ser>
          <c:idx val="1"/>
          <c:order val="1"/>
          <c:tx>
            <c:strRef>
              <c:f>'Subject-object join'!$C$5</c:f>
              <c:strCache>
                <c:ptCount val="1"/>
                <c:pt idx="0">
                  <c:v>WatDiv-Q21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'Subject-object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'Subject-object join'!$D$5:$G$5</c:f>
              <c:numCache>
                <c:formatCode>General</c:formatCode>
                <c:ptCount val="4"/>
                <c:pt idx="0">
                  <c:v>374.6</c:v>
                </c:pt>
                <c:pt idx="1">
                  <c:v>118.38</c:v>
                </c:pt>
                <c:pt idx="2">
                  <c:v>574.9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8-493A-9A0C-6EAA536D0490}"/>
            </c:ext>
          </c:extLst>
        </c:ser>
        <c:ser>
          <c:idx val="2"/>
          <c:order val="2"/>
          <c:tx>
            <c:strRef>
              <c:f>'Subject-object join'!$C$6</c:f>
              <c:strCache>
                <c:ptCount val="1"/>
                <c:pt idx="0">
                  <c:v>WatDiv-Q22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F238-493A-9A0C-6EAA536D049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F238-493A-9A0C-6EAA536D049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F238-493A-9A0C-6EAA536D0490}"/>
              </c:ext>
            </c:extLst>
          </c:dPt>
          <c:cat>
            <c:strRef>
              <c:f>'Subject-object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'Subject-object join'!$D$6:$G$6</c:f>
              <c:numCache>
                <c:formatCode>General</c:formatCode>
                <c:ptCount val="4"/>
                <c:pt idx="0">
                  <c:v>951.24</c:v>
                </c:pt>
                <c:pt idx="1">
                  <c:v>540.12</c:v>
                </c:pt>
                <c:pt idx="2">
                  <c:v>360.83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8-493A-9A0C-6EAA536D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'Subject-object join'!$C$49</c:f>
              <c:strCache>
                <c:ptCount val="1"/>
                <c:pt idx="0">
                  <c:v>BioBench-Allie-Q2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'Subject-object join'!$D$48:$G$48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'Subject-object join'!$D$49:$G$49</c:f>
              <c:numCache>
                <c:formatCode>General</c:formatCode>
                <c:ptCount val="4"/>
                <c:pt idx="0">
                  <c:v>937</c:v>
                </c:pt>
                <c:pt idx="1">
                  <c:v>720</c:v>
                </c:pt>
                <c:pt idx="2">
                  <c:v>446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0-47C1-8013-7E9F8772A524}"/>
            </c:ext>
          </c:extLst>
        </c:ser>
        <c:ser>
          <c:idx val="1"/>
          <c:order val="1"/>
          <c:tx>
            <c:strRef>
              <c:f>'Subject-object join'!$C$50</c:f>
              <c:strCache>
                <c:ptCount val="1"/>
                <c:pt idx="0">
                  <c:v>WatDiv-Q21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'Subject-object join'!$D$48:$G$48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'Subject-object join'!$D$50:$G$50</c:f>
              <c:numCache>
                <c:formatCode>General</c:formatCode>
                <c:ptCount val="4"/>
                <c:pt idx="0">
                  <c:v>36448</c:v>
                </c:pt>
                <c:pt idx="1">
                  <c:v>24189</c:v>
                </c:pt>
                <c:pt idx="2">
                  <c:v>995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0-47C1-8013-7E9F8772A524}"/>
            </c:ext>
          </c:extLst>
        </c:ser>
        <c:ser>
          <c:idx val="2"/>
          <c:order val="2"/>
          <c:tx>
            <c:strRef>
              <c:f>'Subject-object join'!$C$51</c:f>
              <c:strCache>
                <c:ptCount val="1"/>
                <c:pt idx="0">
                  <c:v>WatDiv-Q22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C240-47C1-8013-7E9F8772A52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240-47C1-8013-7E9F8772A52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C240-47C1-8013-7E9F8772A524}"/>
              </c:ext>
            </c:extLst>
          </c:dPt>
          <c:cat>
            <c:strRef>
              <c:f>'Subject-object join'!$D$48:$G$48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'Subject-object join'!$D$51:$G$51</c:f>
              <c:numCache>
                <c:formatCode>General</c:formatCode>
                <c:ptCount val="4"/>
                <c:pt idx="0">
                  <c:v>1427</c:v>
                </c:pt>
                <c:pt idx="1">
                  <c:v>11457</c:v>
                </c:pt>
                <c:pt idx="2">
                  <c:v>325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0-47C1-8013-7E9F8772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'Tree-like join'!$C$4</c:f>
              <c:strCache>
                <c:ptCount val="1"/>
                <c:pt idx="0">
                  <c:v>BioBench-Allie-Q1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'Tree-like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'Tree-like join'!$D$4:$G$4</c:f>
              <c:numCache>
                <c:formatCode>General</c:formatCode>
                <c:ptCount val="4"/>
                <c:pt idx="0">
                  <c:v>139.83000000000001</c:v>
                </c:pt>
                <c:pt idx="1">
                  <c:v>82.02</c:v>
                </c:pt>
                <c:pt idx="2">
                  <c:v>661.42</c:v>
                </c:pt>
                <c:pt idx="3">
                  <c:v>13201.28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B-42FB-9D01-48D11BCC5405}"/>
            </c:ext>
          </c:extLst>
        </c:ser>
        <c:ser>
          <c:idx val="1"/>
          <c:order val="1"/>
          <c:tx>
            <c:strRef>
              <c:f>'Tree-like join'!$C$5</c:f>
              <c:strCache>
                <c:ptCount val="1"/>
                <c:pt idx="0">
                  <c:v>BowlognaBench-Q14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'Tree-like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'Tree-like join'!$D$5:$G$5</c:f>
              <c:numCache>
                <c:formatCode>General</c:formatCode>
                <c:ptCount val="4"/>
                <c:pt idx="0">
                  <c:v>208.89</c:v>
                </c:pt>
                <c:pt idx="1">
                  <c:v>104.68</c:v>
                </c:pt>
                <c:pt idx="2">
                  <c:v>1113.47</c:v>
                </c:pt>
                <c:pt idx="3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B-42FB-9D01-48D11BCC5405}"/>
            </c:ext>
          </c:extLst>
        </c:ser>
        <c:ser>
          <c:idx val="2"/>
          <c:order val="2"/>
          <c:tx>
            <c:strRef>
              <c:f>'Tree-like join'!$C$6</c:f>
              <c:strCache>
                <c:ptCount val="1"/>
                <c:pt idx="0">
                  <c:v>FishMark-Q19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976B-42FB-9D01-48D11BCC54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76B-42FB-9D01-48D11BCC5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976B-42FB-9D01-48D11BCC5405}"/>
              </c:ext>
            </c:extLst>
          </c:dPt>
          <c:cat>
            <c:strRef>
              <c:f>'Tree-like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'Tree-like join'!$D$6:$G$6</c:f>
              <c:numCache>
                <c:formatCode>General</c:formatCode>
                <c:ptCount val="4"/>
                <c:pt idx="0">
                  <c:v>333.02</c:v>
                </c:pt>
                <c:pt idx="1">
                  <c:v>364.57</c:v>
                </c:pt>
                <c:pt idx="2">
                  <c:v>1636.39</c:v>
                </c:pt>
                <c:pt idx="3">
                  <c:v>1049.52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B-42FB-9D01-48D11BCC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'Tree-like join'!$C$26</c:f>
              <c:strCache>
                <c:ptCount val="1"/>
                <c:pt idx="0">
                  <c:v>BioBench-Allie-Q1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'Tree-like join'!$D$25:$G$25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'Tree-like join'!$D$26:$G$26</c:f>
              <c:numCache>
                <c:formatCode>General</c:formatCode>
                <c:ptCount val="4"/>
                <c:pt idx="0">
                  <c:v>6866</c:v>
                </c:pt>
                <c:pt idx="1">
                  <c:v>4577</c:v>
                </c:pt>
                <c:pt idx="2">
                  <c:v>1657</c:v>
                </c:pt>
                <c:pt idx="3">
                  <c:v>25654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A9E-81D9-3CA121AA5DB8}"/>
            </c:ext>
          </c:extLst>
        </c:ser>
        <c:ser>
          <c:idx val="1"/>
          <c:order val="1"/>
          <c:tx>
            <c:strRef>
              <c:f>'Tree-like join'!$C$27</c:f>
              <c:strCache>
                <c:ptCount val="1"/>
                <c:pt idx="0">
                  <c:v>BowlognaBench-Q14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'Tree-like join'!$D$25:$G$25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'Tree-like join'!$D$27:$G$27</c:f>
              <c:numCache>
                <c:formatCode>General</c:formatCode>
                <c:ptCount val="4"/>
                <c:pt idx="0">
                  <c:v>3649</c:v>
                </c:pt>
                <c:pt idx="1">
                  <c:v>1570</c:v>
                </c:pt>
                <c:pt idx="2">
                  <c:v>1552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A9E-81D9-3CA121AA5DB8}"/>
            </c:ext>
          </c:extLst>
        </c:ser>
        <c:ser>
          <c:idx val="2"/>
          <c:order val="2"/>
          <c:tx>
            <c:strRef>
              <c:f>'Tree-like join'!$C$28</c:f>
              <c:strCache>
                <c:ptCount val="1"/>
                <c:pt idx="0">
                  <c:v>FishMark-Q19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ACC1-4A9E-81D9-3CA121AA5DB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ACC1-4A9E-81D9-3CA121AA5DB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ACC1-4A9E-81D9-3CA121AA5DB8}"/>
              </c:ext>
            </c:extLst>
          </c:dPt>
          <c:cat>
            <c:strRef>
              <c:f>'Tree-like join'!$D$25:$G$25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'Tree-like join'!$D$28:$G$28</c:f>
              <c:numCache>
                <c:formatCode>General</c:formatCode>
                <c:ptCount val="4"/>
                <c:pt idx="0">
                  <c:v>3551</c:v>
                </c:pt>
                <c:pt idx="1">
                  <c:v>4461</c:v>
                </c:pt>
                <c:pt idx="2">
                  <c:v>4102</c:v>
                </c:pt>
                <c:pt idx="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C1-4A9E-81D9-3CA121AA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'Optional  join'!$C$4</c:f>
              <c:strCache>
                <c:ptCount val="1"/>
                <c:pt idx="0">
                  <c:v>BSBM-Q2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'Optional 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'Optional  join'!$D$4:$G$4</c:f>
              <c:numCache>
                <c:formatCode>General</c:formatCode>
                <c:ptCount val="4"/>
                <c:pt idx="0">
                  <c:v>395.95</c:v>
                </c:pt>
                <c:pt idx="1">
                  <c:v>166.86</c:v>
                </c:pt>
                <c:pt idx="2">
                  <c:v>472.7</c:v>
                </c:pt>
                <c:pt idx="3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0-4088-BB44-4FF97BB6F22D}"/>
            </c:ext>
          </c:extLst>
        </c:ser>
        <c:ser>
          <c:idx val="1"/>
          <c:order val="1"/>
          <c:tx>
            <c:strRef>
              <c:f>'Optional  join'!$C$5</c:f>
              <c:strCache>
                <c:ptCount val="1"/>
                <c:pt idx="0">
                  <c:v>BSBM-Q4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'Optional 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'Optional  join'!$D$5:$G$5</c:f>
              <c:numCache>
                <c:formatCode>General</c:formatCode>
                <c:ptCount val="4"/>
                <c:pt idx="0">
                  <c:v>66.67</c:v>
                </c:pt>
                <c:pt idx="1">
                  <c:v>57.49</c:v>
                </c:pt>
                <c:pt idx="2">
                  <c:v>343.24</c:v>
                </c:pt>
                <c:pt idx="3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0-4088-BB44-4FF97BB6F22D}"/>
            </c:ext>
          </c:extLst>
        </c:ser>
        <c:ser>
          <c:idx val="2"/>
          <c:order val="2"/>
          <c:tx>
            <c:strRef>
              <c:f>'Optional  join'!$C$6</c:f>
              <c:strCache>
                <c:ptCount val="1"/>
                <c:pt idx="0">
                  <c:v>FishMark-Q2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EE50-4088-BB44-4FF97BB6F22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EE50-4088-BB44-4FF97BB6F22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EE50-4088-BB44-4FF97BB6F22D}"/>
              </c:ext>
            </c:extLst>
          </c:dPt>
          <c:cat>
            <c:strRef>
              <c:f>'Optional  join'!$D$3:$G$3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 </c:v>
                </c:pt>
                <c:pt idx="3">
                  <c:v>MongoDB</c:v>
                </c:pt>
              </c:strCache>
            </c:strRef>
          </c:cat>
          <c:val>
            <c:numRef>
              <c:f>'Optional  join'!$D$6:$G$6</c:f>
              <c:numCache>
                <c:formatCode>General</c:formatCode>
                <c:ptCount val="4"/>
                <c:pt idx="0">
                  <c:v>372.65</c:v>
                </c:pt>
                <c:pt idx="1">
                  <c:v>71.89</c:v>
                </c:pt>
                <c:pt idx="2">
                  <c:v>260.44</c:v>
                </c:pt>
                <c:pt idx="3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50-4088-BB44-4FF97BB6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2244161387338E-2"/>
          <c:y val="2.4885406577832676E-2"/>
          <c:w val="0.90522819515095621"/>
          <c:h val="0.59826784166571989"/>
        </c:manualLayout>
      </c:layout>
      <c:lineChart>
        <c:grouping val="standard"/>
        <c:varyColors val="1"/>
        <c:ser>
          <c:idx val="0"/>
          <c:order val="0"/>
          <c:tx>
            <c:strRef>
              <c:f>'Optional  join'!$C$28</c:f>
              <c:strCache>
                <c:ptCount val="1"/>
                <c:pt idx="0">
                  <c:v>BSBM-Q2</c:v>
                </c:pt>
              </c:strCache>
            </c:strRef>
          </c:tx>
          <c:spPr>
            <a:ln w="76200">
              <a:solidFill>
                <a:schemeClr val="accent1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'Optional  join'!$D$27:$G$27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'Optional  join'!$D$28:$G$28</c:f>
              <c:numCache>
                <c:formatCode>General</c:formatCode>
                <c:ptCount val="4"/>
                <c:pt idx="0">
                  <c:v>31251</c:v>
                </c:pt>
                <c:pt idx="1">
                  <c:v>22519</c:v>
                </c:pt>
                <c:pt idx="2">
                  <c:v>376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8-4AF6-A8BD-DE37C4723C44}"/>
            </c:ext>
          </c:extLst>
        </c:ser>
        <c:ser>
          <c:idx val="1"/>
          <c:order val="1"/>
          <c:tx>
            <c:strRef>
              <c:f>'Optional  join'!$C$29</c:f>
              <c:strCache>
                <c:ptCount val="1"/>
                <c:pt idx="0">
                  <c:v>BSBM-Q4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  <a:effectLst>
              <a:softEdge rad="0"/>
            </a:effectLst>
          </c:spPr>
          <c:marker>
            <c:spPr>
              <a:solidFill>
                <a:schemeClr val="tx2"/>
              </a:solidFill>
              <a:ln w="25400"/>
            </c:spPr>
          </c:marker>
          <c:cat>
            <c:strRef>
              <c:f>'Optional  join'!$D$27:$G$27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'Optional  join'!$D$29:$G$29</c:f>
              <c:numCache>
                <c:formatCode>General</c:formatCode>
                <c:ptCount val="4"/>
                <c:pt idx="0">
                  <c:v>3275</c:v>
                </c:pt>
                <c:pt idx="1">
                  <c:v>1357</c:v>
                </c:pt>
                <c:pt idx="2">
                  <c:v>2088</c:v>
                </c:pt>
                <c:pt idx="3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8-4AF6-A8BD-DE37C4723C44}"/>
            </c:ext>
          </c:extLst>
        </c:ser>
        <c:ser>
          <c:idx val="2"/>
          <c:order val="2"/>
          <c:tx>
            <c:strRef>
              <c:f>'Optional  join'!$C$30</c:f>
              <c:strCache>
                <c:ptCount val="1"/>
                <c:pt idx="0">
                  <c:v>FishMark-Q2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  <a:effectLst/>
          </c:spPr>
          <c:marker>
            <c:spPr>
              <a:solidFill>
                <a:schemeClr val="tx2"/>
              </a:solidFill>
              <a:ln w="25400"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94F8-4AF6-A8BD-DE37C4723C4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4F8-4AF6-A8BD-DE37C4723C4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94F8-4AF6-A8BD-DE37C4723C44}"/>
              </c:ext>
            </c:extLst>
          </c:dPt>
          <c:cat>
            <c:strRef>
              <c:f>'Optional  join'!$D$27:$G$27</c:f>
              <c:strCache>
                <c:ptCount val="4"/>
                <c:pt idx="0">
                  <c:v>Virtuoso (Row)</c:v>
                </c:pt>
                <c:pt idx="1">
                  <c:v>Virtuoso (Column)</c:v>
                </c:pt>
                <c:pt idx="2">
                  <c:v>Blazegraph</c:v>
                </c:pt>
                <c:pt idx="3">
                  <c:v>MongoDB</c:v>
                </c:pt>
              </c:strCache>
            </c:strRef>
          </c:cat>
          <c:val>
            <c:numRef>
              <c:f>'Optional  join'!$D$30:$G$30</c:f>
              <c:numCache>
                <c:formatCode>General</c:formatCode>
                <c:ptCount val="4"/>
                <c:pt idx="0">
                  <c:v>3004</c:v>
                </c:pt>
                <c:pt idx="1">
                  <c:v>1502</c:v>
                </c:pt>
                <c:pt idx="2">
                  <c:v>732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8-4AF6-A8BD-DE37C472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74810"/>
        <c:axId val="2116212811"/>
      </c:line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8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2.6537919568110115E-4"/>
              <c:y val="0.20617578820985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126999</xdr:colOff>
      <xdr:row>14</xdr:row>
      <xdr:rowOff>104774</xdr:rowOff>
    </xdr:from>
    <xdr:to>
      <xdr:col>24</xdr:col>
      <xdr:colOff>587375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809625</xdr:colOff>
      <xdr:row>32</xdr:row>
      <xdr:rowOff>174625</xdr:rowOff>
    </xdr:from>
    <xdr:to>
      <xdr:col>21</xdr:col>
      <xdr:colOff>301626</xdr:colOff>
      <xdr:row>48</xdr:row>
      <xdr:rowOff>117476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460376</xdr:colOff>
      <xdr:row>23</xdr:row>
      <xdr:rowOff>85726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20</xdr:col>
      <xdr:colOff>460376</xdr:colOff>
      <xdr:row>56</xdr:row>
      <xdr:rowOff>149226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20</xdr:col>
      <xdr:colOff>460376</xdr:colOff>
      <xdr:row>21</xdr:row>
      <xdr:rowOff>149226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20</xdr:col>
      <xdr:colOff>460376</xdr:colOff>
      <xdr:row>45</xdr:row>
      <xdr:rowOff>149226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20</xdr:col>
      <xdr:colOff>422276</xdr:colOff>
      <xdr:row>23</xdr:row>
      <xdr:rowOff>177801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20</xdr:col>
      <xdr:colOff>422276</xdr:colOff>
      <xdr:row>50</xdr:row>
      <xdr:rowOff>101601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Z60"/>
  <sheetViews>
    <sheetView tabSelected="1" topLeftCell="E1" zoomScale="60" zoomScaleNormal="60" workbookViewId="0">
      <selection activeCell="W31" sqref="W31"/>
    </sheetView>
  </sheetViews>
  <sheetFormatPr defaultColWidth="14.42578125" defaultRowHeight="15.75" customHeight="1" x14ac:dyDescent="0.2"/>
  <cols>
    <col min="3" max="3" width="19.140625" customWidth="1"/>
    <col min="4" max="4" width="21" customWidth="1"/>
    <col min="5" max="5" width="22.28515625" customWidth="1"/>
    <col min="6" max="6" width="25.28515625" customWidth="1"/>
    <col min="7" max="7" width="27.85546875" customWidth="1"/>
  </cols>
  <sheetData>
    <row r="2" spans="2:26" ht="12.75" x14ac:dyDescent="0.2">
      <c r="D2" s="1" t="s">
        <v>0</v>
      </c>
    </row>
    <row r="3" spans="2:26" ht="12.75" x14ac:dyDescent="0.2">
      <c r="C3" s="2"/>
      <c r="D3" s="4" t="s">
        <v>20</v>
      </c>
      <c r="E3" s="4" t="s">
        <v>21</v>
      </c>
      <c r="F3" s="4" t="s">
        <v>22</v>
      </c>
      <c r="G3" s="4" t="s">
        <v>23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26" ht="12.75" x14ac:dyDescent="0.2">
      <c r="C4" s="4" t="s">
        <v>2</v>
      </c>
      <c r="D4" s="2">
        <f>ROUND(GEOMEAN(41678,23747,20322,21452,47915),2)</f>
        <v>29045.86</v>
      </c>
      <c r="E4" s="2">
        <f>ROUND(GEOMEAN(89826,87199,90688,90223,89825),2)</f>
        <v>89543.81</v>
      </c>
      <c r="F4" s="2">
        <f>ROUND(GEOMEAN(243,162,261,384,2414),2)</f>
        <v>394.24</v>
      </c>
      <c r="G4" s="2">
        <f>ROUND(GEOMEAN(25,2,1,1,1),2)</f>
        <v>2.19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2:26" ht="12.75" x14ac:dyDescent="0.2">
      <c r="C5" s="4" t="s">
        <v>6</v>
      </c>
      <c r="D5" s="2">
        <f>ROUND(GEOMEAN(2834,166,31,246,58),2)</f>
        <v>183.5</v>
      </c>
      <c r="E5" s="2">
        <f>ROUND(GEOMEAN(1556,174,24,212,60),2)</f>
        <v>152.56</v>
      </c>
      <c r="F5" s="2">
        <f>ROUND(GEOMEAN(544,211,206,212,169),2)</f>
        <v>242.99</v>
      </c>
      <c r="G5" s="2">
        <f>ROUND(GEOMEAN(18,3,1,2,1),2)</f>
        <v>2.5499999999999998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2:26" ht="12.75" x14ac:dyDescent="0.2">
      <c r="B6" s="7" t="s">
        <v>4</v>
      </c>
      <c r="C6" s="4" t="s">
        <v>8</v>
      </c>
      <c r="D6" s="2">
        <f>ROUND(GEOMEAN(32165,7282,7134,9406,7412),2)</f>
        <v>10310.07</v>
      </c>
      <c r="E6" s="2">
        <f>ROUND(GEOMEAN(28864,6832,6810,7073,6958),2)</f>
        <v>9205.09</v>
      </c>
      <c r="F6" s="2">
        <f>ROUND(GEOMEAN(5374,4574,4744,4690,4338),2)</f>
        <v>4731.95</v>
      </c>
      <c r="G6" s="2">
        <f>ROUND(GEOMEAN(28534,27289,28313,27745,27583),2)</f>
        <v>27888.97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2:26" ht="12.75" x14ac:dyDescent="0.2">
      <c r="B7" s="6" t="s">
        <v>11</v>
      </c>
      <c r="C7" s="8" t="s">
        <v>8</v>
      </c>
      <c r="D7" s="11">
        <f>ROUND(GEOMEAN(3176,691,734,827,689),2)</f>
        <v>983.01</v>
      </c>
      <c r="E7" s="11">
        <f>ROUND(GEOMEAN(1544,753,746,757,623),2)</f>
        <v>836.28</v>
      </c>
      <c r="F7" s="11">
        <f>ROUND(GEOMEAN(2485,652,573,584,616),2)</f>
        <v>803.05</v>
      </c>
      <c r="G7" s="11">
        <f>ROUND(GEOMEAN(2599,2614,2785,2439,2879),2)</f>
        <v>2658.75</v>
      </c>
    </row>
    <row r="8" spans="2:26" ht="12.75" x14ac:dyDescent="0.2">
      <c r="B8" s="6" t="s">
        <v>12</v>
      </c>
      <c r="C8" s="8" t="s">
        <v>8</v>
      </c>
      <c r="D8" s="6" t="s">
        <v>13</v>
      </c>
      <c r="E8" s="6" t="s">
        <v>13</v>
      </c>
      <c r="F8" s="6" t="s">
        <v>13</v>
      </c>
      <c r="G8" s="6" t="s">
        <v>13</v>
      </c>
    </row>
    <row r="9" spans="2:26" ht="12.75" x14ac:dyDescent="0.2">
      <c r="D9" s="6" t="s">
        <v>14</v>
      </c>
    </row>
    <row r="56" spans="3:7" ht="15.75" customHeight="1" x14ac:dyDescent="0.2">
      <c r="D56" s="9" t="s">
        <v>15</v>
      </c>
    </row>
    <row r="57" spans="3:7" ht="15.75" customHeight="1" x14ac:dyDescent="0.2">
      <c r="C57" s="10"/>
      <c r="D57" s="12" t="s">
        <v>20</v>
      </c>
      <c r="E57" s="12" t="s">
        <v>21</v>
      </c>
      <c r="F57" s="12" t="s">
        <v>24</v>
      </c>
      <c r="G57" s="12" t="s">
        <v>23</v>
      </c>
    </row>
    <row r="58" spans="3:7" ht="15.75" customHeight="1" x14ac:dyDescent="0.2">
      <c r="C58" s="12" t="s">
        <v>2</v>
      </c>
      <c r="D58" s="12">
        <v>41678</v>
      </c>
      <c r="E58" s="12">
        <v>89826</v>
      </c>
      <c r="F58" s="12">
        <v>243</v>
      </c>
      <c r="G58" s="12">
        <v>25</v>
      </c>
    </row>
    <row r="59" spans="3:7" ht="15.75" customHeight="1" x14ac:dyDescent="0.2">
      <c r="C59" s="12" t="s">
        <v>6</v>
      </c>
      <c r="D59" s="12">
        <v>2834</v>
      </c>
      <c r="E59" s="12">
        <v>1556</v>
      </c>
      <c r="F59" s="12">
        <v>544</v>
      </c>
      <c r="G59" s="12">
        <v>18</v>
      </c>
    </row>
    <row r="60" spans="3:7" ht="15.75" customHeight="1" x14ac:dyDescent="0.2">
      <c r="C60" s="12" t="s">
        <v>8</v>
      </c>
      <c r="D60" s="12">
        <v>32165</v>
      </c>
      <c r="E60" s="12">
        <v>28864</v>
      </c>
      <c r="F60" s="12">
        <v>5374</v>
      </c>
      <c r="G60" s="12">
        <v>28534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Z55"/>
  <sheetViews>
    <sheetView zoomScale="60" zoomScaleNormal="60" workbookViewId="0">
      <selection activeCell="K28" sqref="K28"/>
    </sheetView>
  </sheetViews>
  <sheetFormatPr defaultColWidth="14.42578125" defaultRowHeight="15.75" customHeight="1" x14ac:dyDescent="0.2"/>
  <cols>
    <col min="3" max="3" width="19.140625" customWidth="1"/>
    <col min="4" max="4" width="21" customWidth="1"/>
    <col min="5" max="5" width="22.28515625" customWidth="1"/>
    <col min="6" max="6" width="25.28515625" customWidth="1"/>
    <col min="7" max="7" width="27.85546875" customWidth="1"/>
  </cols>
  <sheetData>
    <row r="2" spans="2:26" ht="12.75" x14ac:dyDescent="0.2">
      <c r="D2" s="1" t="s">
        <v>0</v>
      </c>
    </row>
    <row r="3" spans="2:26" ht="12.75" x14ac:dyDescent="0.2">
      <c r="C3" s="3"/>
      <c r="D3" s="4" t="s">
        <v>20</v>
      </c>
      <c r="E3" s="4" t="s">
        <v>21</v>
      </c>
      <c r="F3" s="4" t="s">
        <v>22</v>
      </c>
      <c r="G3" s="4" t="s">
        <v>23</v>
      </c>
      <c r="S3" s="5"/>
      <c r="T3" s="5"/>
      <c r="U3" s="5"/>
      <c r="V3" s="5"/>
      <c r="W3" s="5"/>
      <c r="X3" s="5"/>
      <c r="Y3" s="5"/>
      <c r="Z3" s="5"/>
    </row>
    <row r="4" spans="2:26" ht="12.75" x14ac:dyDescent="0.2">
      <c r="C4" s="4" t="s">
        <v>1</v>
      </c>
      <c r="D4" s="2">
        <f>ROUND(GEOMEAN(937,188,79,55,81),2)</f>
        <v>144.04</v>
      </c>
      <c r="E4" s="2">
        <f>ROUND(GEOMEAN(720,171,57,32,57),2)</f>
        <v>105.06</v>
      </c>
      <c r="F4" s="2">
        <f>ROUND(GEOMEAN(446,439,568,265,253),2)</f>
        <v>375.41</v>
      </c>
      <c r="G4" s="2">
        <f>ROUND(GEOMEAN(11,2,2,1,4),2)</f>
        <v>2.81</v>
      </c>
      <c r="S4" s="5"/>
      <c r="T4" s="5"/>
      <c r="U4" s="5"/>
      <c r="V4" s="5"/>
      <c r="W4" s="5"/>
      <c r="X4" s="5"/>
      <c r="Y4" s="5"/>
      <c r="Z4" s="5"/>
    </row>
    <row r="5" spans="2:26" ht="12.75" x14ac:dyDescent="0.2">
      <c r="B5" s="6" t="s">
        <v>4</v>
      </c>
      <c r="C5" s="4" t="s">
        <v>5</v>
      </c>
      <c r="D5" s="2">
        <f>ROUND(GEOMEAN(36448,41,3164,39,40),2)</f>
        <v>374.6</v>
      </c>
      <c r="E5" s="2">
        <f>ROUND(GEOMEAN(24189,59,1810,3,3),2)</f>
        <v>118.38</v>
      </c>
      <c r="F5" s="2">
        <f>ROUND(GEOMEAN(995,310,4399,203,228),2)</f>
        <v>574.9</v>
      </c>
      <c r="G5" s="2" t="s">
        <v>13</v>
      </c>
      <c r="S5" s="5"/>
      <c r="T5" s="5"/>
      <c r="U5" s="5"/>
      <c r="V5" s="5"/>
      <c r="W5" s="5"/>
      <c r="X5" s="5"/>
      <c r="Y5" s="5"/>
      <c r="Z5" s="5"/>
    </row>
    <row r="6" spans="2:26" ht="12.75" x14ac:dyDescent="0.2">
      <c r="B6" s="6" t="s">
        <v>4</v>
      </c>
      <c r="C6" s="4" t="s">
        <v>10</v>
      </c>
      <c r="D6" s="2">
        <f>ROUND(GEOMEAN(14237,7455,61,245,491),2)</f>
        <v>951.24</v>
      </c>
      <c r="E6" s="2">
        <f>ROUND(GEOMEAN(11457,5640,13,304,180),2)</f>
        <v>540.12</v>
      </c>
      <c r="F6" s="2">
        <f>ROUND(GEOMEAN(325,471,315,404,314),2)</f>
        <v>360.83</v>
      </c>
      <c r="G6" s="2" t="s">
        <v>13</v>
      </c>
      <c r="S6" s="5"/>
      <c r="T6" s="5"/>
      <c r="U6" s="5"/>
      <c r="V6" s="5"/>
      <c r="W6" s="5"/>
      <c r="X6" s="5"/>
      <c r="Y6" s="5"/>
      <c r="Z6" s="5"/>
    </row>
    <row r="7" spans="2:26" ht="12.75" x14ac:dyDescent="0.2">
      <c r="B7" s="6" t="s">
        <v>11</v>
      </c>
      <c r="C7" s="8" t="s">
        <v>5</v>
      </c>
      <c r="D7" s="11">
        <f>ROUND(GEOMEAN(81,25,19,7,4),2)</f>
        <v>16.09</v>
      </c>
      <c r="E7" s="11">
        <f>ROUND(GEOMEAN(39,13,10,1,2),2)</f>
        <v>6.33</v>
      </c>
      <c r="F7" s="11">
        <f>ROUND(GEOMEAN(846,282,229,216,2773),2)</f>
        <v>504.63</v>
      </c>
      <c r="G7" s="2" t="s">
        <v>13</v>
      </c>
    </row>
    <row r="8" spans="2:26" ht="12.75" x14ac:dyDescent="0.2">
      <c r="B8" s="6" t="s">
        <v>12</v>
      </c>
      <c r="C8" s="8" t="s">
        <v>5</v>
      </c>
      <c r="D8" s="11">
        <f>ROUND(GEOMEAN(278,82,122,90,88),2)</f>
        <v>117.11</v>
      </c>
      <c r="E8" s="11">
        <f>ROUND(GEOMEAN(99,55,87,98,73),2)</f>
        <v>80.540000000000006</v>
      </c>
      <c r="F8" s="11">
        <f>ROUND(GEOMEAN(409,61,78,60,78),2)</f>
        <v>98.15</v>
      </c>
      <c r="G8" s="2" t="s">
        <v>13</v>
      </c>
    </row>
    <row r="9" spans="2:26" ht="12.75" x14ac:dyDescent="0.2">
      <c r="B9" s="6" t="s">
        <v>11</v>
      </c>
      <c r="C9" s="8" t="s">
        <v>10</v>
      </c>
      <c r="D9" s="11">
        <f>ROUND(GEOMEAN(16798,10373,8645,5763,2316),2)</f>
        <v>7255.42</v>
      </c>
      <c r="E9" s="11">
        <f>ROUND(GEOMEAN(10118,8651,6649,3789,1477),2)</f>
        <v>5041.55</v>
      </c>
      <c r="F9" s="11">
        <f>ROUND(GEOMEAN(1385,803,547,531,406),2)</f>
        <v>666.12</v>
      </c>
      <c r="G9" s="2" t="s">
        <v>13</v>
      </c>
    </row>
    <row r="10" spans="2:26" ht="12.75" x14ac:dyDescent="0.2">
      <c r="B10" s="14" t="s">
        <v>12</v>
      </c>
      <c r="C10" s="8" t="s">
        <v>10</v>
      </c>
      <c r="D10" s="6" t="s">
        <v>13</v>
      </c>
      <c r="E10" s="6" t="s">
        <v>13</v>
      </c>
      <c r="F10" s="6" t="s">
        <v>13</v>
      </c>
      <c r="G10" s="2" t="s">
        <v>13</v>
      </c>
    </row>
    <row r="47" spans="3:7" ht="15.75" customHeight="1" x14ac:dyDescent="0.2">
      <c r="D47" s="9" t="s">
        <v>15</v>
      </c>
    </row>
    <row r="48" spans="3:7" ht="15.75" customHeight="1" x14ac:dyDescent="0.2">
      <c r="C48" s="10"/>
      <c r="D48" s="12" t="s">
        <v>20</v>
      </c>
      <c r="E48" s="12" t="s">
        <v>21</v>
      </c>
      <c r="F48" s="12" t="s">
        <v>24</v>
      </c>
      <c r="G48" s="12" t="s">
        <v>23</v>
      </c>
    </row>
    <row r="49" spans="2:7" ht="15.75" customHeight="1" x14ac:dyDescent="0.2">
      <c r="C49" s="12" t="s">
        <v>1</v>
      </c>
      <c r="D49" s="15">
        <v>937</v>
      </c>
      <c r="E49" s="15">
        <v>720</v>
      </c>
      <c r="F49" s="15">
        <v>446</v>
      </c>
      <c r="G49" s="15">
        <v>11</v>
      </c>
    </row>
    <row r="50" spans="2:7" ht="15.75" customHeight="1" x14ac:dyDescent="0.2">
      <c r="B50" s="14" t="s">
        <v>4</v>
      </c>
      <c r="C50" s="12" t="s">
        <v>5</v>
      </c>
      <c r="D50" s="15">
        <v>36448</v>
      </c>
      <c r="E50" s="15">
        <v>24189</v>
      </c>
      <c r="F50" s="15">
        <v>995</v>
      </c>
      <c r="G50" s="15" t="s">
        <v>13</v>
      </c>
    </row>
    <row r="51" spans="2:7" ht="15.75" customHeight="1" x14ac:dyDescent="0.2">
      <c r="B51" s="14" t="s">
        <v>4</v>
      </c>
      <c r="C51" s="12" t="s">
        <v>10</v>
      </c>
      <c r="D51" s="15">
        <v>1427</v>
      </c>
      <c r="E51" s="15">
        <v>11457</v>
      </c>
      <c r="F51" s="15">
        <v>325</v>
      </c>
      <c r="G51" s="15" t="s">
        <v>13</v>
      </c>
    </row>
    <row r="52" spans="2:7" ht="15.75" customHeight="1" x14ac:dyDescent="0.2">
      <c r="B52" s="14" t="s">
        <v>11</v>
      </c>
      <c r="C52" s="8" t="s">
        <v>5</v>
      </c>
      <c r="D52" s="11">
        <f>ROUND(GEOMEAN(81,25,19,7,4),2)</f>
        <v>16.09</v>
      </c>
      <c r="E52" s="11">
        <f>ROUND(GEOMEAN(39,13,10,1,2),2)</f>
        <v>6.33</v>
      </c>
      <c r="F52" s="11">
        <f>ROUND(GEOMEAN(846,282,229,216,2773),2)</f>
        <v>504.63</v>
      </c>
      <c r="G52" s="15" t="s">
        <v>13</v>
      </c>
    </row>
    <row r="53" spans="2:7" ht="15.75" customHeight="1" x14ac:dyDescent="0.2">
      <c r="B53" s="14" t="s">
        <v>12</v>
      </c>
      <c r="C53" s="8" t="s">
        <v>5</v>
      </c>
      <c r="D53" s="11">
        <f>ROUND(GEOMEAN(278,82,122,90,88),2)</f>
        <v>117.11</v>
      </c>
      <c r="E53" s="11">
        <f>ROUND(GEOMEAN(99,55,87,98,73),2)</f>
        <v>80.540000000000006</v>
      </c>
      <c r="F53" s="11">
        <f>ROUND(GEOMEAN(409,61,78,60,78),2)</f>
        <v>98.15</v>
      </c>
      <c r="G53" s="15" t="s">
        <v>13</v>
      </c>
    </row>
    <row r="54" spans="2:7" ht="15.75" customHeight="1" x14ac:dyDescent="0.2">
      <c r="B54" s="14" t="s">
        <v>11</v>
      </c>
      <c r="C54" s="8" t="s">
        <v>10</v>
      </c>
      <c r="D54" s="11">
        <f>ROUND(GEOMEAN(16798,10373,8645,5763,2316),2)</f>
        <v>7255.42</v>
      </c>
      <c r="E54" s="11">
        <f>ROUND(GEOMEAN(10118,8651,6649,3789,1477),2)</f>
        <v>5041.55</v>
      </c>
      <c r="F54" s="11">
        <f>ROUND(GEOMEAN(1385,803,547,531,406),2)</f>
        <v>666.12</v>
      </c>
      <c r="G54" s="15" t="s">
        <v>13</v>
      </c>
    </row>
    <row r="55" spans="2:7" ht="15.75" customHeight="1" x14ac:dyDescent="0.2">
      <c r="B55" s="14" t="s">
        <v>12</v>
      </c>
      <c r="C55" s="8" t="s">
        <v>10</v>
      </c>
      <c r="D55" s="14" t="s">
        <v>13</v>
      </c>
      <c r="E55" s="14" t="s">
        <v>13</v>
      </c>
      <c r="F55" s="14" t="s">
        <v>13</v>
      </c>
      <c r="G55" s="15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Z28"/>
  <sheetViews>
    <sheetView topLeftCell="B1" zoomScale="60" zoomScaleNormal="60" workbookViewId="0">
      <selection activeCell="V24" sqref="V24"/>
    </sheetView>
  </sheetViews>
  <sheetFormatPr defaultColWidth="14.42578125" defaultRowHeight="15.75" customHeight="1" x14ac:dyDescent="0.2"/>
  <cols>
    <col min="3" max="3" width="19.140625" customWidth="1"/>
    <col min="4" max="4" width="21" customWidth="1"/>
    <col min="5" max="5" width="22.28515625" customWidth="1"/>
    <col min="6" max="6" width="25.28515625" customWidth="1"/>
    <col min="7" max="7" width="27.85546875" customWidth="1"/>
  </cols>
  <sheetData>
    <row r="2" spans="2:26" x14ac:dyDescent="0.2">
      <c r="D2" s="1" t="s">
        <v>0</v>
      </c>
    </row>
    <row r="3" spans="2:26" x14ac:dyDescent="0.2">
      <c r="C3" s="3"/>
      <c r="D3" s="4" t="s">
        <v>20</v>
      </c>
      <c r="E3" s="4" t="s">
        <v>21</v>
      </c>
      <c r="F3" s="4" t="s">
        <v>22</v>
      </c>
      <c r="G3" s="4" t="s">
        <v>23</v>
      </c>
      <c r="X3" s="5"/>
      <c r="Y3" s="5"/>
      <c r="Z3" s="5"/>
    </row>
    <row r="4" spans="2:26" x14ac:dyDescent="0.2">
      <c r="C4" s="4" t="s">
        <v>3</v>
      </c>
      <c r="D4" s="2">
        <f>ROUND(GEOMEAN(6866,41,1187,20,8),2)</f>
        <v>139.83000000000001</v>
      </c>
      <c r="E4" s="2">
        <f>ROUND(GEOMEAN(4577,27,613,7,7),2)</f>
        <v>82.02</v>
      </c>
      <c r="F4" s="2">
        <f>ROUND(GEOMEAN(1657,1190,1124,436,131),2)</f>
        <v>661.42</v>
      </c>
      <c r="G4" s="2">
        <f>ROUND(GEOMEAN(25654,8493,18010,24758,4127),2)</f>
        <v>13201.28</v>
      </c>
      <c r="X4" s="5"/>
      <c r="Y4" s="5"/>
      <c r="Z4" s="5"/>
    </row>
    <row r="5" spans="2:26" x14ac:dyDescent="0.2">
      <c r="C5" s="4" t="s">
        <v>7</v>
      </c>
      <c r="D5" s="2">
        <f>ROUND(GEOMEAN(3649,117,134,88,79),2)</f>
        <v>208.89</v>
      </c>
      <c r="E5" s="2">
        <f>ROUND(GEOMEAN(1570,74,73,39,38),2)</f>
        <v>104.68</v>
      </c>
      <c r="F5" s="2">
        <f>ROUND(GEOMEAN(1552,1044,1033,824,1241),2)</f>
        <v>1113.47</v>
      </c>
      <c r="G5" s="2">
        <f>ROUND(GEOMEAN(3,2,3,2,1),2)</f>
        <v>2.0499999999999998</v>
      </c>
      <c r="X5" s="5"/>
      <c r="Y5" s="5"/>
      <c r="Z5" s="5"/>
    </row>
    <row r="6" spans="2:26" x14ac:dyDescent="0.2">
      <c r="B6" s="6"/>
      <c r="C6" s="4" t="s">
        <v>9</v>
      </c>
      <c r="D6" s="2">
        <f>ROUND(GEOMEAN(3551,170,187,193,188),2)</f>
        <v>333.02</v>
      </c>
      <c r="E6" s="2">
        <f>ROUND(GEOMEAN(4461,144,211,221,215),2)</f>
        <v>364.57</v>
      </c>
      <c r="F6" s="2">
        <f>ROUND(GEOMEAN(4102,2279,1052,1155,1033),2)</f>
        <v>1636.39</v>
      </c>
      <c r="G6" s="2">
        <f>ROUND(GEOMEAN(1100,984,1057,1051,1059),2)</f>
        <v>1049.52</v>
      </c>
      <c r="X6" s="5"/>
      <c r="Y6" s="5"/>
      <c r="Z6" s="5"/>
    </row>
    <row r="7" spans="2:26" x14ac:dyDescent="0.2">
      <c r="C7" s="8"/>
    </row>
    <row r="8" spans="2:26" x14ac:dyDescent="0.2">
      <c r="C8" s="8"/>
    </row>
    <row r="24" spans="3:7" x14ac:dyDescent="0.2">
      <c r="D24" s="9" t="s">
        <v>0</v>
      </c>
    </row>
    <row r="25" spans="3:7" x14ac:dyDescent="0.2">
      <c r="C25" s="10"/>
      <c r="D25" s="12" t="s">
        <v>20</v>
      </c>
      <c r="E25" s="12" t="s">
        <v>21</v>
      </c>
      <c r="F25" s="12" t="s">
        <v>24</v>
      </c>
      <c r="G25" s="12" t="s">
        <v>23</v>
      </c>
    </row>
    <row r="26" spans="3:7" x14ac:dyDescent="0.2">
      <c r="C26" s="12" t="s">
        <v>3</v>
      </c>
      <c r="D26" s="12">
        <v>6866</v>
      </c>
      <c r="E26" s="12">
        <v>4577</v>
      </c>
      <c r="F26" s="12">
        <v>1657</v>
      </c>
      <c r="G26" s="12">
        <v>25654</v>
      </c>
    </row>
    <row r="27" spans="3:7" x14ac:dyDescent="0.2">
      <c r="C27" s="12" t="s">
        <v>7</v>
      </c>
      <c r="D27" s="12">
        <v>3649</v>
      </c>
      <c r="E27" s="12">
        <v>1570</v>
      </c>
      <c r="F27" s="12">
        <v>1552</v>
      </c>
      <c r="G27" s="12">
        <v>3</v>
      </c>
    </row>
    <row r="28" spans="3:7" x14ac:dyDescent="0.2">
      <c r="C28" s="12" t="s">
        <v>9</v>
      </c>
      <c r="D28" s="12">
        <v>3551</v>
      </c>
      <c r="E28" s="12">
        <v>4461</v>
      </c>
      <c r="F28" s="12">
        <v>4102</v>
      </c>
      <c r="G28" s="12">
        <v>1100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Z34"/>
  <sheetViews>
    <sheetView zoomScale="50" zoomScaleNormal="50" workbookViewId="0">
      <selection activeCell="T29" sqref="T29"/>
    </sheetView>
  </sheetViews>
  <sheetFormatPr defaultColWidth="14.42578125" defaultRowHeight="15.75" customHeight="1" x14ac:dyDescent="0.2"/>
  <cols>
    <col min="3" max="3" width="19.140625" customWidth="1"/>
    <col min="4" max="4" width="21" customWidth="1"/>
    <col min="5" max="5" width="22.28515625" customWidth="1"/>
    <col min="6" max="6" width="25.28515625" customWidth="1"/>
    <col min="7" max="7" width="27.85546875" customWidth="1"/>
  </cols>
  <sheetData>
    <row r="2" spans="2:26" ht="12.75" x14ac:dyDescent="0.2">
      <c r="D2" s="13" t="s">
        <v>0</v>
      </c>
    </row>
    <row r="3" spans="2:26" ht="12.75" x14ac:dyDescent="0.2">
      <c r="C3" s="3"/>
      <c r="D3" s="4" t="s">
        <v>20</v>
      </c>
      <c r="E3" s="4" t="s">
        <v>21</v>
      </c>
      <c r="F3" s="4" t="s">
        <v>22</v>
      </c>
      <c r="G3" s="4" t="s">
        <v>23</v>
      </c>
      <c r="U3" s="5"/>
      <c r="V3" s="5"/>
      <c r="W3" s="5"/>
      <c r="X3" s="5"/>
      <c r="Y3" s="5"/>
      <c r="Z3" s="5"/>
    </row>
    <row r="4" spans="2:26" ht="12.75" x14ac:dyDescent="0.2">
      <c r="B4" s="8" t="s">
        <v>4</v>
      </c>
      <c r="C4" s="4" t="s">
        <v>16</v>
      </c>
      <c r="D4" s="2">
        <f>ROUND(GEOMEAN(31251,286,234,99,47),2)</f>
        <v>395.95</v>
      </c>
      <c r="E4" s="2">
        <f>ROUND(GEOMEAN(22519,579,248,8,5),2)</f>
        <v>166.86</v>
      </c>
      <c r="F4" s="2">
        <f>ROUND(GEOMEAN(376,434,541,670,399),2)</f>
        <v>472.7</v>
      </c>
      <c r="G4" s="2">
        <f>ROUND(GEOMEAN(5,2,2,1,2),2)</f>
        <v>2.09</v>
      </c>
      <c r="U4" s="5"/>
      <c r="V4" s="5"/>
      <c r="W4" s="5"/>
      <c r="X4" s="5"/>
      <c r="Y4" s="5"/>
      <c r="Z4" s="5"/>
    </row>
    <row r="5" spans="2:26" ht="12.75" x14ac:dyDescent="0.2">
      <c r="B5" s="8" t="s">
        <v>4</v>
      </c>
      <c r="C5" s="4" t="s">
        <v>17</v>
      </c>
      <c r="D5" s="2">
        <f>ROUND(GEOMEAN(3275,49,21,17,23),2)</f>
        <v>66.67</v>
      </c>
      <c r="E5" s="2">
        <f>ROUND(GEOMEAN(1357,54,21,17,24),2)</f>
        <v>57.49</v>
      </c>
      <c r="F5" s="2">
        <f>ROUND(GEOMEAN(2088,268,211,150,269),2)</f>
        <v>343.24</v>
      </c>
      <c r="G5" s="2">
        <f>ROUND(GEOMEAN(169,12,2,1,1),2)</f>
        <v>5.27</v>
      </c>
      <c r="U5" s="16"/>
      <c r="V5" s="16"/>
      <c r="W5" s="16"/>
      <c r="X5" s="16"/>
      <c r="Y5" s="16"/>
      <c r="Z5" s="16"/>
    </row>
    <row r="6" spans="2:26" ht="15.75" customHeight="1" x14ac:dyDescent="0.2">
      <c r="B6" s="6" t="s">
        <v>18</v>
      </c>
      <c r="C6" s="4" t="s">
        <v>19</v>
      </c>
      <c r="D6" s="2">
        <f>ROUND(GEOMEAN(3004,297,288,177,158),2)</f>
        <v>372.65</v>
      </c>
      <c r="E6" s="2">
        <f>ROUND(GEOMEAN(1502,30,32,37,36),2)</f>
        <v>71.89</v>
      </c>
      <c r="F6" s="2">
        <f>ROUND(GEOMEAN(732,211,200,201,193),2)</f>
        <v>260.44</v>
      </c>
      <c r="G6" s="2">
        <f>ROUND(GEOMEAN(2,1,1,1,2),2)</f>
        <v>1.32</v>
      </c>
      <c r="U6" s="5"/>
      <c r="V6" s="5"/>
      <c r="W6" s="5"/>
      <c r="X6" s="5"/>
      <c r="Y6" s="5"/>
      <c r="Z6" s="5"/>
    </row>
    <row r="7" spans="2:26" ht="12.75" x14ac:dyDescent="0.2">
      <c r="B7" s="6" t="s">
        <v>11</v>
      </c>
      <c r="C7" s="8" t="s">
        <v>16</v>
      </c>
      <c r="D7" s="11">
        <f>ROUND(GEOMEAN(24013,376,230,149,16),2)</f>
        <v>345.89</v>
      </c>
      <c r="E7" s="11">
        <f>ROUND(GEOMEAN(123007,194,117,16,2),2)</f>
        <v>154.96</v>
      </c>
      <c r="F7" s="11">
        <f>ROUND(GEOMEAN(1860,374,693,199,152),2)</f>
        <v>429.3</v>
      </c>
      <c r="G7" s="11">
        <f>ROUND(GEOMEAN(4,2,1,1,2),2)</f>
        <v>1.74</v>
      </c>
    </row>
    <row r="8" spans="2:26" ht="12.75" x14ac:dyDescent="0.2">
      <c r="B8" s="6" t="s">
        <v>12</v>
      </c>
      <c r="C8" s="8" t="s">
        <v>16</v>
      </c>
      <c r="D8" s="11">
        <f>ROUND(GEOMEAN(35889,797,471,133,47),2)</f>
        <v>609.65</v>
      </c>
      <c r="E8" s="11">
        <f>ROUND(GEOMEAN(28961,713,190,14,25),2)</f>
        <v>267.64</v>
      </c>
      <c r="F8" s="11">
        <f>ROUND(GEOMEAN(1163,734,522,970,899),2)</f>
        <v>827.74</v>
      </c>
      <c r="G8" s="11">
        <f>ROUND(GEOMEAN(8,4,4,3,2),2)</f>
        <v>3.78</v>
      </c>
    </row>
    <row r="9" spans="2:26" ht="12.75" x14ac:dyDescent="0.2">
      <c r="B9" s="8" t="s">
        <v>11</v>
      </c>
      <c r="C9" s="6" t="s">
        <v>17</v>
      </c>
      <c r="D9" s="11">
        <f>ROUND(GEOMEAN(1071,34,39,19,17),2)</f>
        <v>53.99</v>
      </c>
      <c r="E9" s="11">
        <f>ROUND(GEOMEAN(681,44,19,23,17),2)</f>
        <v>46.72</v>
      </c>
      <c r="F9" s="11">
        <f>ROUND(GEOMEAN(1377,142,231,112,251),2)</f>
        <v>263.48</v>
      </c>
      <c r="G9" s="11">
        <f>ROUND(GEOMEAN(95,12,2,1,1),2)</f>
        <v>4.6900000000000004</v>
      </c>
      <c r="U9" s="17"/>
      <c r="V9" s="17"/>
      <c r="W9" s="17"/>
      <c r="X9" s="17"/>
      <c r="Y9" s="17"/>
      <c r="Z9" s="17"/>
    </row>
    <row r="10" spans="2:26" ht="12.75" x14ac:dyDescent="0.2">
      <c r="B10" s="8" t="s">
        <v>12</v>
      </c>
      <c r="C10" s="8" t="s">
        <v>17</v>
      </c>
      <c r="D10" s="11">
        <f>ROUND(GEOMEAN(3841,282,279,299,283),2)</f>
        <v>480.34</v>
      </c>
      <c r="E10" s="11">
        <f>ROUND(GEOMEAN(2984,175,146,171,170),2)</f>
        <v>294.52999999999997</v>
      </c>
      <c r="F10" s="11">
        <f>ROUND(GEOMEAN(3821,281,237,199,281),2)</f>
        <v>427.21</v>
      </c>
      <c r="G10" s="11">
        <f>ROUND(GEOMEAN(181,15,3,1,2),2)</f>
        <v>6.96</v>
      </c>
      <c r="U10" s="17"/>
      <c r="V10" s="17"/>
      <c r="W10" s="17"/>
      <c r="X10" s="17"/>
      <c r="Y10" s="17"/>
      <c r="Z10" s="17"/>
    </row>
    <row r="26" spans="2:7" ht="12.75" x14ac:dyDescent="0.2">
      <c r="D26" s="9" t="s">
        <v>15</v>
      </c>
    </row>
    <row r="27" spans="2:7" ht="12.75" x14ac:dyDescent="0.2">
      <c r="C27" s="10"/>
      <c r="D27" s="12" t="s">
        <v>20</v>
      </c>
      <c r="E27" s="12" t="s">
        <v>21</v>
      </c>
      <c r="F27" s="12" t="s">
        <v>24</v>
      </c>
      <c r="G27" s="12" t="s">
        <v>23</v>
      </c>
    </row>
    <row r="28" spans="2:7" ht="12.75" x14ac:dyDescent="0.2">
      <c r="B28" s="8" t="s">
        <v>4</v>
      </c>
      <c r="C28" s="12" t="s">
        <v>16</v>
      </c>
      <c r="D28" s="12">
        <v>31251</v>
      </c>
      <c r="E28" s="12">
        <v>22519</v>
      </c>
      <c r="F28" s="12">
        <v>376</v>
      </c>
      <c r="G28" s="12">
        <v>5</v>
      </c>
    </row>
    <row r="29" spans="2:7" ht="12.75" x14ac:dyDescent="0.2">
      <c r="B29" s="8" t="s">
        <v>4</v>
      </c>
      <c r="C29" s="12" t="s">
        <v>17</v>
      </c>
      <c r="D29" s="12">
        <v>3275</v>
      </c>
      <c r="E29" s="12">
        <v>1357</v>
      </c>
      <c r="F29" s="12">
        <v>2088</v>
      </c>
      <c r="G29" s="12">
        <v>169</v>
      </c>
    </row>
    <row r="30" spans="2:7" ht="12.75" x14ac:dyDescent="0.2">
      <c r="B30" s="14" t="s">
        <v>18</v>
      </c>
      <c r="C30" s="12" t="s">
        <v>19</v>
      </c>
      <c r="D30" s="12">
        <v>3004</v>
      </c>
      <c r="E30" s="12">
        <v>1502</v>
      </c>
      <c r="F30" s="12">
        <v>732</v>
      </c>
      <c r="G30" s="12">
        <v>2</v>
      </c>
    </row>
    <row r="31" spans="2:7" ht="12.75" x14ac:dyDescent="0.2">
      <c r="B31" s="14" t="s">
        <v>11</v>
      </c>
      <c r="C31" s="8" t="s">
        <v>16</v>
      </c>
      <c r="D31" s="6">
        <v>24013</v>
      </c>
      <c r="E31" s="6">
        <v>123007</v>
      </c>
      <c r="F31" s="6">
        <v>1860</v>
      </c>
      <c r="G31" s="6">
        <v>4</v>
      </c>
    </row>
    <row r="32" spans="2:7" ht="12.75" x14ac:dyDescent="0.2">
      <c r="B32" s="14" t="s">
        <v>12</v>
      </c>
      <c r="C32" s="8" t="s">
        <v>16</v>
      </c>
      <c r="D32" s="6">
        <v>35889</v>
      </c>
      <c r="E32" s="6">
        <v>28961</v>
      </c>
      <c r="F32" s="6">
        <v>1163</v>
      </c>
      <c r="G32" s="6">
        <v>8</v>
      </c>
    </row>
    <row r="33" spans="2:7" ht="12.75" x14ac:dyDescent="0.2">
      <c r="B33" s="8" t="s">
        <v>11</v>
      </c>
      <c r="C33" s="14" t="s">
        <v>17</v>
      </c>
      <c r="D33" s="6">
        <v>1071</v>
      </c>
      <c r="E33" s="6">
        <v>681</v>
      </c>
      <c r="F33" s="6">
        <v>1377</v>
      </c>
      <c r="G33" s="6">
        <v>95</v>
      </c>
    </row>
    <row r="34" spans="2:7" ht="12.75" x14ac:dyDescent="0.2">
      <c r="B34" s="8" t="s">
        <v>12</v>
      </c>
      <c r="C34" s="8" t="s">
        <v>17</v>
      </c>
      <c r="D34" s="6">
        <v>3841</v>
      </c>
      <c r="E34" s="6">
        <v>2984</v>
      </c>
      <c r="F34" s="6">
        <v>3821</v>
      </c>
      <c r="G34" s="6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Subject-subject join</vt:lpstr>
      <vt:lpstr>Subject-object join</vt:lpstr>
      <vt:lpstr>Tree-like join</vt:lpstr>
      <vt:lpstr>Optional 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Masoud Salehpour</cp:lastModifiedBy>
  <dcterms:modified xsi:type="dcterms:W3CDTF">2019-12-12T00:42:18Z</dcterms:modified>
</cp:coreProperties>
</file>